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codeName="ThisWorkbook"/>
  <mc:AlternateContent xmlns:mc="http://schemas.openxmlformats.org/markup-compatibility/2006">
    <mc:Choice Requires="x15">
      <x15ac:absPath xmlns:x15ac="http://schemas.microsoft.com/office/spreadsheetml/2010/11/ac" url="/Users/alexshymkiv/Downloads/"/>
    </mc:Choice>
  </mc:AlternateContent>
  <xr:revisionPtr revIDLastSave="0" documentId="13_ncr:1_{112D18C1-0779-1C4C-B171-20AA728B43F9}" xr6:coauthVersionLast="47" xr6:coauthVersionMax="47" xr10:uidLastSave="{00000000-0000-0000-0000-000000000000}"/>
  <bookViews>
    <workbookView xWindow="1460" yWindow="1720" windowWidth="27240" windowHeight="16260" xr2:uid="{C2DA7B59-7CAC-0440-A0C2-E2EA27A780D7}"/>
  </bookViews>
  <sheets>
    <sheet name="Summary" sheetId="9" r:id="rId1"/>
    <sheet name="&gt;&gt;&gt;&gt;&gt;" sheetId="11" r:id="rId2"/>
    <sheet name="Sales Log" sheetId="1" r:id="rId3"/>
    <sheet name="Expenses Log(ONLY MAJOR)" sheetId="4" r:id="rId4"/>
    <sheet name="Product List" sheetId="3" r:id="rId5"/>
    <sheet name="Calculators" sheetId="7" r:id="rId6"/>
    <sheet name="Technical" sheetId="10" r:id="rId7"/>
  </sheets>
  <definedNames>
    <definedName name="__FDS_HYPERLINK_TOGGLE_STATE__" hidden="1">"ON"</definedName>
    <definedName name="_xlnm._FilterDatabase" localSheetId="3" hidden="1">'Expenses Log(ONLY MAJOR)'!$A$1:$G$4</definedName>
    <definedName name="_xlnm._FilterDatabase" localSheetId="2" hidden="1">'Sales Log'!$A$1:$M$12</definedName>
    <definedName name="_Order1" hidden="1">0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nscount" hidden="1">1</definedName>
    <definedName name="AS2DocOpenMode" hidden="1">"AS2DocumentEdit"</definedName>
    <definedName name="ev.Calculation" hidden="1">2</definedName>
    <definedName name="ev.Initialized" hidden="1">FALSE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2_0" hidden="1">"U25569"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1" hidden="1">"A34699"</definedName>
    <definedName name="FDD_58_12" hidden="1">"A35064"</definedName>
    <definedName name="FDD_58_13" hidden="1">"A35430"</definedName>
    <definedName name="FDD_58_14" hidden="1">"A35795"</definedName>
    <definedName name="FDD_58_2" hidden="1">"A31412"</definedName>
    <definedName name="FDD_58_3" hidden="1">"A31777"</definedName>
    <definedName name="FDD_58_4" hidden="1">"A32142"</definedName>
    <definedName name="FDD_58_5" hidden="1">"A32508"</definedName>
    <definedName name="FDD_58_6" hidden="1">"A32873"</definedName>
    <definedName name="FDD_58_7" hidden="1">"A33238"</definedName>
    <definedName name="FDD_58_8" hidden="1">"A33603"</definedName>
    <definedName name="FDD_58_9" hidden="1">"A33969"</definedName>
    <definedName name="FDD_59_0" hidden="1">"A30681"</definedName>
    <definedName name="FDD_59_1" hidden="1">"A31047"</definedName>
    <definedName name="FDD_59_10" hidden="1">"A34334"</definedName>
    <definedName name="FDD_59_11" hidden="1">"A34699"</definedName>
    <definedName name="FDD_59_12" hidden="1">"A35064"</definedName>
    <definedName name="FDD_59_13" hidden="1">"A35430"</definedName>
    <definedName name="FDD_59_14" hidden="1">"A35795"</definedName>
    <definedName name="FDD_59_2" hidden="1">"A31412"</definedName>
    <definedName name="FDD_59_3" hidden="1">"A31777"</definedName>
    <definedName name="FDD_59_4" hidden="1">"A32142"</definedName>
    <definedName name="FDD_59_5" hidden="1">"A32508"</definedName>
    <definedName name="FDD_59_6" hidden="1">"A32873"</definedName>
    <definedName name="FDD_59_7" hidden="1">"A33238"</definedName>
    <definedName name="FDD_59_8" hidden="1">"A33603"</definedName>
    <definedName name="FDD_59_9" hidden="1">"A33969"</definedName>
    <definedName name="FDD_6_0" hidden="1">"A25569"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IsColHidden" hidden="1">FALSE</definedName>
    <definedName name="IsLTMColHidden" hidden="1">FALSE</definedName>
    <definedName name="prolinks_a0a3f28cdd8e4faa8ae479e938f043ee" hidden="1">#REF!</definedName>
    <definedName name="prolinks_cd432d30f2b04dd0b835338b80e88033" hidden="1">#REF!</definedName>
    <definedName name="prolinks_cf7d3984394c47f2be0cb249e7e2c5f2" hidden="1">#REF!</definedName>
    <definedName name="prolinks_d5f1409ee6e54e128147e4a93c24518a" hidden="1">#REF!</definedName>
    <definedName name="prolinks_f44b469a3fc1463d9076b81425588db3" hidden="1">#REF!</definedName>
    <definedName name="prolinks_fc10acdb4ddd44d28b866e4bc326e345" hidden="1">#REF!</definedName>
    <definedName name="PUB_UserID" hidden="1">"MAYERX"</definedName>
    <definedName name="sencount" hidden="1">1</definedName>
    <definedName name="TextRefCopyRangeCount" hidden="1">4</definedName>
    <definedName name="XRefColumnsCount" hidden="1">1</definedName>
    <definedName name="XRefCopyRangeCount" hidden="1">2</definedName>
    <definedName name="XRefPasteRangeCount" hidden="1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I11" i="1"/>
  <c r="J11" i="1"/>
  <c r="K11" i="1" s="1"/>
  <c r="L11" i="1"/>
  <c r="M11" i="1" s="1"/>
  <c r="H12" i="1"/>
  <c r="I12" i="1"/>
  <c r="L12" i="1" s="1"/>
  <c r="M12" i="1" s="1"/>
  <c r="J12" i="1"/>
  <c r="K12" i="1" s="1"/>
  <c r="A11" i="1"/>
  <c r="B11" i="1"/>
  <c r="A12" i="1"/>
  <c r="B12" i="1"/>
  <c r="E11" i="1"/>
  <c r="E12" i="1"/>
  <c r="A9" i="1"/>
  <c r="B9" i="1"/>
  <c r="A10" i="1"/>
  <c r="B10" i="1"/>
  <c r="I9" i="1"/>
  <c r="L9" i="1" s="1"/>
  <c r="J9" i="1"/>
  <c r="K9" i="1" s="1"/>
  <c r="I10" i="1"/>
  <c r="L10" i="1" s="1"/>
  <c r="J10" i="1"/>
  <c r="K10" i="1" s="1"/>
  <c r="H9" i="1"/>
  <c r="H10" i="1"/>
  <c r="E9" i="1"/>
  <c r="E10" i="1"/>
  <c r="A17" i="10"/>
  <c r="A18" i="10"/>
  <c r="A19" i="10"/>
  <c r="A20" i="10"/>
  <c r="A21" i="10"/>
  <c r="A22" i="10"/>
  <c r="A23" i="10"/>
  <c r="A14" i="10"/>
  <c r="A15" i="10"/>
  <c r="A16" i="10"/>
  <c r="A13" i="10"/>
  <c r="A3" i="10"/>
  <c r="A4" i="10"/>
  <c r="A5" i="10"/>
  <c r="A6" i="10"/>
  <c r="A7" i="10"/>
  <c r="A8" i="10"/>
  <c r="A9" i="10"/>
  <c r="A10" i="10"/>
  <c r="A11" i="10"/>
  <c r="A12" i="10"/>
  <c r="A2" i="10"/>
  <c r="H8" i="1"/>
  <c r="I8" i="1"/>
  <c r="L8" i="1" s="1"/>
  <c r="J8" i="1"/>
  <c r="K8" i="1" s="1"/>
  <c r="E8" i="1"/>
  <c r="A8" i="1"/>
  <c r="B8" i="1"/>
  <c r="C21" i="9"/>
  <c r="B22" i="9" s="1"/>
  <c r="J34" i="9" s="1"/>
  <c r="B3" i="1"/>
  <c r="B4" i="1"/>
  <c r="B5" i="1"/>
  <c r="B6" i="1"/>
  <c r="B7" i="1"/>
  <c r="B2" i="1"/>
  <c r="D35" i="9"/>
  <c r="G35" i="9" s="1"/>
  <c r="C35" i="9"/>
  <c r="D34" i="9"/>
  <c r="G34" i="9" s="1"/>
  <c r="C34" i="9"/>
  <c r="D33" i="9"/>
  <c r="G33" i="9" s="1"/>
  <c r="C33" i="9"/>
  <c r="D32" i="9"/>
  <c r="C32" i="9"/>
  <c r="D31" i="9"/>
  <c r="G31" i="9" s="1"/>
  <c r="C31" i="9"/>
  <c r="D30" i="9"/>
  <c r="C30" i="9"/>
  <c r="D29" i="9"/>
  <c r="G29" i="9" s="1"/>
  <c r="C29" i="9"/>
  <c r="D28" i="9"/>
  <c r="C28" i="9"/>
  <c r="D27" i="9"/>
  <c r="C27" i="9"/>
  <c r="D26" i="9"/>
  <c r="C26" i="9"/>
  <c r="D25" i="9"/>
  <c r="C25" i="9"/>
  <c r="K10" i="9"/>
  <c r="B17" i="10" s="1"/>
  <c r="K11" i="9"/>
  <c r="B18" i="10" s="1"/>
  <c r="K12" i="9"/>
  <c r="B19" i="10" s="1"/>
  <c r="K13" i="9"/>
  <c r="B20" i="10" s="1"/>
  <c r="K14" i="9"/>
  <c r="B21" i="10" s="1"/>
  <c r="K15" i="9"/>
  <c r="B22" i="10" s="1"/>
  <c r="K16" i="9"/>
  <c r="B23" i="10" s="1"/>
  <c r="F5" i="3"/>
  <c r="F4" i="3"/>
  <c r="F3" i="3"/>
  <c r="J10" i="9"/>
  <c r="B6" i="10" s="1"/>
  <c r="J11" i="9"/>
  <c r="B7" i="10" s="1"/>
  <c r="J12" i="9"/>
  <c r="B8" i="10" s="1"/>
  <c r="J13" i="9"/>
  <c r="B9" i="10" s="1"/>
  <c r="J14" i="9"/>
  <c r="B10" i="10" s="1"/>
  <c r="J15" i="9"/>
  <c r="B11" i="10" s="1"/>
  <c r="J16" i="9"/>
  <c r="B12" i="10" s="1"/>
  <c r="C2" i="9"/>
  <c r="D16" i="9"/>
  <c r="E16" i="9"/>
  <c r="C16" i="9"/>
  <c r="E8" i="9"/>
  <c r="E9" i="9"/>
  <c r="E10" i="9"/>
  <c r="E11" i="9"/>
  <c r="E12" i="9"/>
  <c r="E13" i="9"/>
  <c r="E14" i="9"/>
  <c r="E15" i="9"/>
  <c r="E7" i="9"/>
  <c r="E6" i="9"/>
  <c r="D8" i="9"/>
  <c r="D9" i="9"/>
  <c r="D10" i="9"/>
  <c r="G10" i="9" s="1"/>
  <c r="D11" i="9"/>
  <c r="G11" i="9" s="1"/>
  <c r="D12" i="9"/>
  <c r="G12" i="9" s="1"/>
  <c r="D13" i="9"/>
  <c r="G13" i="9" s="1"/>
  <c r="D14" i="9"/>
  <c r="G14" i="9" s="1"/>
  <c r="D15" i="9"/>
  <c r="G15" i="9" s="1"/>
  <c r="D7" i="9"/>
  <c r="D6" i="9"/>
  <c r="C11" i="9"/>
  <c r="C12" i="9"/>
  <c r="C13" i="9"/>
  <c r="C14" i="9"/>
  <c r="C15" i="9"/>
  <c r="C10" i="9"/>
  <c r="C9" i="9"/>
  <c r="C8" i="9"/>
  <c r="C7" i="9"/>
  <c r="C6" i="9"/>
  <c r="M10" i="1" l="1"/>
  <c r="M8" i="1"/>
  <c r="J25" i="9" s="1"/>
  <c r="M9" i="1"/>
  <c r="J26" i="9" s="1"/>
  <c r="K26" i="9"/>
  <c r="K34" i="9"/>
  <c r="K31" i="9"/>
  <c r="K32" i="9"/>
  <c r="K33" i="9"/>
  <c r="K30" i="9"/>
  <c r="K27" i="9"/>
  <c r="K35" i="9"/>
  <c r="K28" i="9"/>
  <c r="K29" i="9"/>
  <c r="E33" i="9"/>
  <c r="F33" i="9" s="1"/>
  <c r="J27" i="9"/>
  <c r="J35" i="9"/>
  <c r="E32" i="9"/>
  <c r="F32" i="9" s="1"/>
  <c r="J28" i="9"/>
  <c r="E31" i="9"/>
  <c r="F31" i="9" s="1"/>
  <c r="J29" i="9"/>
  <c r="E30" i="9"/>
  <c r="F30" i="9" s="1"/>
  <c r="J30" i="9"/>
  <c r="K25" i="9"/>
  <c r="E29" i="9"/>
  <c r="F29" i="9" s="1"/>
  <c r="J31" i="9"/>
  <c r="E28" i="9"/>
  <c r="J32" i="9"/>
  <c r="E35" i="9"/>
  <c r="F35" i="9" s="1"/>
  <c r="E27" i="9"/>
  <c r="J33" i="9"/>
  <c r="E34" i="9"/>
  <c r="E26" i="9"/>
  <c r="F16" i="9"/>
  <c r="E25" i="9"/>
  <c r="G30" i="9"/>
  <c r="G32" i="9"/>
  <c r="F6" i="9"/>
  <c r="F9" i="9"/>
  <c r="F8" i="9"/>
  <c r="E17" i="9"/>
  <c r="I8" i="9" s="1"/>
  <c r="F15" i="9"/>
  <c r="F7" i="9"/>
  <c r="F14" i="9"/>
  <c r="F13" i="9"/>
  <c r="F12" i="9"/>
  <c r="F11" i="9"/>
  <c r="F10" i="9"/>
  <c r="G16" i="9"/>
  <c r="C80" i="7"/>
  <c r="C71" i="7"/>
  <c r="C62" i="7"/>
  <c r="C17" i="7"/>
  <c r="C45" i="7"/>
  <c r="C51" i="7" s="1"/>
  <c r="C8" i="7"/>
  <c r="C36" i="7"/>
  <c r="C26" i="7"/>
  <c r="F2" i="3"/>
  <c r="A3" i="1"/>
  <c r="A4" i="1"/>
  <c r="A5" i="1"/>
  <c r="A6" i="1"/>
  <c r="A7" i="1"/>
  <c r="A3" i="4"/>
  <c r="A4" i="4"/>
  <c r="K36" i="9" l="1"/>
  <c r="M34" i="9" s="1"/>
  <c r="I10" i="9"/>
  <c r="F26" i="9"/>
  <c r="F25" i="9"/>
  <c r="J36" i="9"/>
  <c r="L34" i="9" s="1"/>
  <c r="F27" i="9"/>
  <c r="F28" i="9"/>
  <c r="I6" i="9"/>
  <c r="I15" i="9"/>
  <c r="E36" i="9"/>
  <c r="I34" i="9" s="1"/>
  <c r="I7" i="9"/>
  <c r="I9" i="9"/>
  <c r="F34" i="9"/>
  <c r="I11" i="9"/>
  <c r="I16" i="9"/>
  <c r="I12" i="9"/>
  <c r="I13" i="9"/>
  <c r="F17" i="9"/>
  <c r="I14" i="9"/>
  <c r="C48" i="7"/>
  <c r="B4" i="4"/>
  <c r="B3" i="4"/>
  <c r="B2" i="4"/>
  <c r="A2" i="4"/>
  <c r="M31" i="9" l="1"/>
  <c r="M28" i="9"/>
  <c r="M33" i="9"/>
  <c r="M29" i="9"/>
  <c r="M27" i="9"/>
  <c r="M25" i="9"/>
  <c r="M30" i="9"/>
  <c r="M32" i="9"/>
  <c r="M35" i="9"/>
  <c r="M26" i="9"/>
  <c r="L27" i="9"/>
  <c r="L32" i="9"/>
  <c r="L25" i="9"/>
  <c r="L26" i="9"/>
  <c r="I30" i="9"/>
  <c r="L33" i="9"/>
  <c r="L31" i="9"/>
  <c r="L28" i="9"/>
  <c r="L29" i="9"/>
  <c r="L35" i="9"/>
  <c r="I32" i="9"/>
  <c r="I35" i="9"/>
  <c r="I28" i="9"/>
  <c r="I31" i="9"/>
  <c r="I27" i="9"/>
  <c r="I26" i="9"/>
  <c r="I29" i="9"/>
  <c r="I25" i="9"/>
  <c r="I33" i="9"/>
  <c r="F36" i="9"/>
  <c r="H34" i="9" s="1"/>
  <c r="L30" i="9"/>
  <c r="H16" i="9"/>
  <c r="H12" i="9"/>
  <c r="H8" i="9"/>
  <c r="H11" i="9"/>
  <c r="H7" i="9"/>
  <c r="H14" i="9"/>
  <c r="H15" i="9"/>
  <c r="H9" i="9"/>
  <c r="H10" i="9"/>
  <c r="H6" i="9"/>
  <c r="H13" i="9"/>
  <c r="J7" i="1"/>
  <c r="K7" i="1" s="1"/>
  <c r="I7" i="1"/>
  <c r="H7" i="1"/>
  <c r="E7" i="1"/>
  <c r="J3" i="1"/>
  <c r="K3" i="1" s="1"/>
  <c r="J4" i="1"/>
  <c r="K4" i="1" s="1"/>
  <c r="J5" i="1"/>
  <c r="K5" i="1" s="1"/>
  <c r="J6" i="1"/>
  <c r="K6" i="1" s="1"/>
  <c r="J2" i="1"/>
  <c r="K2" i="1" s="1"/>
  <c r="I3" i="1"/>
  <c r="L3" i="1" s="1"/>
  <c r="I4" i="1"/>
  <c r="I5" i="1"/>
  <c r="L5" i="1" s="1"/>
  <c r="I6" i="1"/>
  <c r="I2" i="1"/>
  <c r="H3" i="1"/>
  <c r="H4" i="1"/>
  <c r="H5" i="1"/>
  <c r="H6" i="1"/>
  <c r="H2" i="1"/>
  <c r="E3" i="1"/>
  <c r="E4" i="1"/>
  <c r="E5" i="1"/>
  <c r="E6" i="1"/>
  <c r="E2" i="1"/>
  <c r="H25" i="9" l="1"/>
  <c r="L7" i="1"/>
  <c r="G28" i="9"/>
  <c r="G9" i="9"/>
  <c r="L6" i="1"/>
  <c r="M6" i="1" s="1"/>
  <c r="G8" i="9"/>
  <c r="G27" i="9"/>
  <c r="L4" i="1"/>
  <c r="M4" i="1" s="1"/>
  <c r="G7" i="9"/>
  <c r="G26" i="9"/>
  <c r="L2" i="1"/>
  <c r="M2" i="1" s="1"/>
  <c r="G25" i="9"/>
  <c r="G6" i="9"/>
  <c r="H28" i="9"/>
  <c r="H27" i="9"/>
  <c r="H26" i="9"/>
  <c r="H35" i="9"/>
  <c r="H31" i="9"/>
  <c r="H33" i="9"/>
  <c r="H32" i="9"/>
  <c r="H29" i="9"/>
  <c r="H30" i="9"/>
  <c r="M5" i="1"/>
  <c r="M7" i="1"/>
  <c r="M3" i="1"/>
  <c r="A2" i="1"/>
  <c r="K7" i="9" l="1"/>
  <c r="B14" i="10" s="1"/>
  <c r="J7" i="9"/>
  <c r="B3" i="10" s="1"/>
  <c r="K9" i="9"/>
  <c r="B16" i="10" s="1"/>
  <c r="J9" i="9"/>
  <c r="B5" i="10" s="1"/>
  <c r="K8" i="9"/>
  <c r="B15" i="10" s="1"/>
  <c r="J8" i="9"/>
  <c r="B4" i="10" s="1"/>
  <c r="J6" i="9"/>
  <c r="B2" i="10" s="1"/>
  <c r="K6" i="9"/>
  <c r="B13" i="10" s="1"/>
  <c r="J17" i="9" l="1"/>
  <c r="C24" i="10" s="1"/>
  <c r="L8" i="9"/>
  <c r="L7" i="9"/>
  <c r="K17" i="9"/>
  <c r="C25" i="10" s="1"/>
  <c r="L9" i="9"/>
  <c r="L6" i="9" l="1"/>
  <c r="M6" i="9"/>
  <c r="M7" i="9"/>
  <c r="M8" i="9"/>
  <c r="M9" i="9"/>
  <c r="M13" i="9"/>
  <c r="M12" i="9"/>
  <c r="M16" i="9"/>
  <c r="M11" i="9"/>
  <c r="M14" i="9"/>
  <c r="M15" i="9"/>
  <c r="M10" i="9"/>
  <c r="L13" i="9"/>
  <c r="L14" i="9"/>
  <c r="L16" i="9"/>
  <c r="L12" i="9"/>
  <c r="L15" i="9"/>
  <c r="L11" i="9"/>
  <c r="L10" i="9"/>
</calcChain>
</file>

<file path=xl/sharedStrings.xml><?xml version="1.0" encoding="utf-8"?>
<sst xmlns="http://schemas.openxmlformats.org/spreadsheetml/2006/main" count="198" uniqueCount="95">
  <si>
    <t>Year</t>
  </si>
  <si>
    <t>Month</t>
  </si>
  <si>
    <t>Type of Purchase</t>
  </si>
  <si>
    <t>Type of Product</t>
  </si>
  <si>
    <t>ID</t>
  </si>
  <si>
    <t>Name</t>
  </si>
  <si>
    <t>Cash</t>
  </si>
  <si>
    <t>Card</t>
  </si>
  <si>
    <t>Date</t>
  </si>
  <si>
    <t>Glazed Donut</t>
  </si>
  <si>
    <t>Vanilla Sprinkles Donut</t>
  </si>
  <si>
    <t>Pumpkin Donut</t>
  </si>
  <si>
    <t>Revenue per unit</t>
  </si>
  <si>
    <t>Cost per unit</t>
  </si>
  <si>
    <t>Total Revenue</t>
  </si>
  <si>
    <t>Total Cost</t>
  </si>
  <si>
    <t>Total Profit</t>
  </si>
  <si>
    <t>Units Sold</t>
  </si>
  <si>
    <t>A1</t>
  </si>
  <si>
    <t>A2</t>
  </si>
  <si>
    <t>A3</t>
  </si>
  <si>
    <t>Donut</t>
  </si>
  <si>
    <t>Water</t>
  </si>
  <si>
    <t>B1</t>
  </si>
  <si>
    <t>Drink</t>
  </si>
  <si>
    <t>Category</t>
  </si>
  <si>
    <t>Amount</t>
  </si>
  <si>
    <t>Fixed/Variable</t>
  </si>
  <si>
    <t>Yearly Rent</t>
  </si>
  <si>
    <t>Inventory</t>
  </si>
  <si>
    <t>Product Name</t>
  </si>
  <si>
    <t>Fixed</t>
  </si>
  <si>
    <t>Variable</t>
  </si>
  <si>
    <t>Inventory Restock</t>
  </si>
  <si>
    <t>Rent</t>
  </si>
  <si>
    <t>Profit per unit</t>
  </si>
  <si>
    <t>Pricing(Margin) Calculator</t>
  </si>
  <si>
    <t>Cost</t>
  </si>
  <si>
    <t>Target Margin %</t>
  </si>
  <si>
    <t>Formula</t>
  </si>
  <si>
    <t>Final Price</t>
  </si>
  <si>
    <t>Pricing(Markup) Calculator</t>
  </si>
  <si>
    <t>Target Markuo %</t>
  </si>
  <si>
    <t>Cost * (1 + Markup)</t>
  </si>
  <si>
    <t>Break-Even Units Calculator</t>
  </si>
  <si>
    <t>Fixed Costs (per month)</t>
  </si>
  <si>
    <t>Break Even Units</t>
  </si>
  <si>
    <t>Inventory Reorder Point Calculator</t>
  </si>
  <si>
    <t>Lead Time (days)</t>
  </si>
  <si>
    <t>Max Daily Sales</t>
  </si>
  <si>
    <t>Average Daily Sales</t>
  </si>
  <si>
    <t>Selling Price</t>
  </si>
  <si>
    <t>Variable Costs</t>
  </si>
  <si>
    <t>Safety Stock</t>
  </si>
  <si>
    <t>Reorder Point</t>
  </si>
  <si>
    <t>Order Quantity</t>
  </si>
  <si>
    <t>Average Monthly Sales + Safety Stock</t>
  </si>
  <si>
    <t>(Max D. Sales * Lead Time) - (Average D. Sales * Lead Time)</t>
  </si>
  <si>
    <t>(Average D. Sales * Lead Time) + Safety Stock</t>
  </si>
  <si>
    <t>Average Monthly Sales</t>
  </si>
  <si>
    <t>Profit Margin % Calculator</t>
  </si>
  <si>
    <t>(Selling Price - Cost) / Selling Price</t>
  </si>
  <si>
    <t>Cost / (1 - Margin)</t>
  </si>
  <si>
    <t>Fixed Costs / (Selling Price - Variable Costs)</t>
  </si>
  <si>
    <t>Profit Margin %</t>
  </si>
  <si>
    <t>Growth Profit per Sale Calculator</t>
  </si>
  <si>
    <t>Quantity Sold</t>
  </si>
  <si>
    <t>(Selling Price - Cost) * Quantity Sold</t>
  </si>
  <si>
    <t>Expenses-to-Sales Ratio Calculator</t>
  </si>
  <si>
    <t>Total Expenses</t>
  </si>
  <si>
    <t>Total Sales</t>
  </si>
  <si>
    <t>(Total Expenses / Total Sales) * 100</t>
  </si>
  <si>
    <t>Expenses-to-Sales Ratio</t>
  </si>
  <si>
    <t xml:space="preserve">Total Growth Profit </t>
  </si>
  <si>
    <t>Operating Cushion Calculator</t>
  </si>
  <si>
    <t>Sales</t>
  </si>
  <si>
    <t>Fixed Costs</t>
  </si>
  <si>
    <t>(Sales - Fixed Costs) / Sales * 100</t>
  </si>
  <si>
    <t>-</t>
  </si>
  <si>
    <t>Profit Per Unit</t>
  </si>
  <si>
    <t>Profit Share (%)</t>
  </si>
  <si>
    <t>Units Share (%)</t>
  </si>
  <si>
    <t>Profit Margin (%)</t>
  </si>
  <si>
    <t>Card Purchases ($)</t>
  </si>
  <si>
    <t>Cash Purchases ($)</t>
  </si>
  <si>
    <t>Card Purchases Share (%)</t>
  </si>
  <si>
    <t>Cash Purchases Share (%)</t>
  </si>
  <si>
    <t>Total:</t>
  </si>
  <si>
    <t>Month &amp; Year</t>
  </si>
  <si>
    <t>Summary of Products as of:</t>
  </si>
  <si>
    <t>All time Summary of Products as of:</t>
  </si>
  <si>
    <t>TOTAL</t>
  </si>
  <si>
    <t>Card &amp; Cash</t>
  </si>
  <si>
    <t>Last Update: 10/05/25</t>
  </si>
  <si>
    <t>Products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</si>
</sst>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_-* #,##0.00\ _₽_-;\-* #,##0.00\ _₽_-;_-* &quot;-&quot;??\ _₽_-;_-@_-"/>
    <numFmt numFmtId="165" formatCode="#,##0.0_);\(#,##0.0\);\-_);@_)"/>
    <numFmt numFmtId="166" formatCode="&quot;$&quot;#,##0.00"/>
    <numFmt numFmtId="167" formatCode="#,##0.0%;\(#,##0.0%\);&quot; - &quot;_)"/>
    <numFmt numFmtId="168" formatCode="dd/mm/yy;@"/>
    <numFmt numFmtId="169" formatCode="0.0"/>
  </numFmts>
  <fonts count="32" x14ac:knownFonts="1"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b/>
      <sz val="8"/>
      <color rgb="FF000000"/>
      <name val="Arial"/>
      <family val="2"/>
      <charset val="204"/>
    </font>
    <font>
      <sz val="8"/>
      <name val="Arial"/>
      <family val="2"/>
    </font>
    <font>
      <sz val="8"/>
      <color theme="1"/>
      <name val="Arial"/>
      <family val="2"/>
      <charset val="204"/>
      <scheme val="minor"/>
    </font>
    <font>
      <sz val="8"/>
      <color rgb="FF1010FF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  <scheme val="minor"/>
    </font>
    <font>
      <b/>
      <sz val="10"/>
      <color rgb="FF000000"/>
      <name val="Arial"/>
      <family val="2"/>
    </font>
    <font>
      <sz val="10"/>
      <color rgb="FF1010FF"/>
      <name val="Arial"/>
      <family val="2"/>
    </font>
    <font>
      <sz val="8"/>
      <color rgb="FF1B00F5"/>
      <name val="Arial (Body)"/>
    </font>
    <font>
      <sz val="8"/>
      <color rgb="FF1B00F5"/>
      <name val="Arial"/>
      <family val="2"/>
    </font>
    <font>
      <sz val="11"/>
      <color rgb="FF1B00F5"/>
      <name val="Arial"/>
      <family val="2"/>
      <charset val="204"/>
      <scheme val="minor"/>
    </font>
    <font>
      <sz val="10"/>
      <color theme="1"/>
      <name val="Arial"/>
      <family val="2"/>
    </font>
    <font>
      <b/>
      <sz val="14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rgb="FF1F5DEA"/>
      <name val="Arial"/>
      <family val="2"/>
      <scheme val="minor"/>
    </font>
    <font>
      <sz val="11"/>
      <color rgb="FF00B050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b/>
      <sz val="11"/>
      <color rgb="FF00B050"/>
      <name val="Arial"/>
      <family val="2"/>
      <scheme val="minor"/>
    </font>
    <font>
      <sz val="8"/>
      <color theme="1"/>
      <name val="Arial"/>
      <family val="2"/>
      <charset val="204"/>
    </font>
    <font>
      <b/>
      <sz val="9"/>
      <color theme="0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9"/>
      <name val="Arial"/>
      <family val="2"/>
      <charset val="204"/>
    </font>
    <font>
      <sz val="9"/>
      <color rgb="FF1010FF"/>
      <name val="Arial"/>
      <family val="2"/>
      <charset val="204"/>
    </font>
    <font>
      <b/>
      <sz val="9"/>
      <color theme="1"/>
      <name val="Arial"/>
      <family val="2"/>
    </font>
    <font>
      <b/>
      <sz val="9"/>
      <color rgb="FF2659AB"/>
      <name val="Arial"/>
      <family val="2"/>
      <charset val="204"/>
    </font>
    <font>
      <b/>
      <sz val="8"/>
      <color theme="1"/>
      <name val="Arial"/>
      <family val="2"/>
      <scheme val="minor"/>
    </font>
    <font>
      <sz val="11"/>
      <color theme="0"/>
      <name val="Arial"/>
      <family val="2"/>
      <charset val="204"/>
      <scheme val="minor"/>
    </font>
    <font>
      <sz val="11"/>
      <color theme="1"/>
      <name val="Arial (Body)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9A6A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455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392C63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BC0E8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2659AB"/>
        <bgColor indexed="64"/>
      </patternFill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3" fillId="0" borderId="0"/>
    <xf numFmtId="0" fontId="7" fillId="0" borderId="0"/>
    <xf numFmtId="44" fontId="1" fillId="0" borderId="0" applyFont="0" applyFill="0" applyBorder="0" applyAlignment="0" applyProtection="0"/>
  </cellStyleXfs>
  <cellXfs count="141">
    <xf numFmtId="0" fontId="0" fillId="0" borderId="0" xfId="0"/>
    <xf numFmtId="14" fontId="5" fillId="0" borderId="0" xfId="2" applyNumberFormat="1" applyFont="1" applyFill="1" applyBorder="1" applyAlignment="1">
      <alignment horizontal="center" vertical="center"/>
    </xf>
    <xf numFmtId="0" fontId="6" fillId="0" borderId="0" xfId="2" applyNumberFormat="1" applyFont="1" applyFill="1" applyBorder="1" applyAlignment="1">
      <alignment horizontal="center" vertical="center"/>
    </xf>
    <xf numFmtId="0" fontId="7" fillId="0" borderId="0" xfId="4"/>
    <xf numFmtId="0" fontId="9" fillId="0" borderId="0" xfId="0" applyFont="1" applyAlignment="1">
      <alignment horizontal="center" vertical="center"/>
    </xf>
    <xf numFmtId="0" fontId="9" fillId="0" borderId="0" xfId="2" applyNumberFormat="1" applyFont="1" applyFill="1" applyBorder="1" applyAlignment="1">
      <alignment horizontal="center" vertical="center"/>
    </xf>
    <xf numFmtId="14" fontId="9" fillId="0" borderId="0" xfId="2" applyNumberFormat="1" applyFont="1" applyFill="1" applyBorder="1" applyAlignment="1">
      <alignment horizontal="center" vertical="center"/>
    </xf>
    <xf numFmtId="2" fontId="9" fillId="0" borderId="0" xfId="2" applyNumberFormat="1" applyFont="1" applyFill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66" fontId="6" fillId="0" borderId="0" xfId="1" applyNumberFormat="1" applyFon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14" fontId="2" fillId="3" borderId="0" xfId="0" applyNumberFormat="1" applyFont="1" applyFill="1" applyAlignment="1">
      <alignment horizontal="center" vertical="center" wrapText="1"/>
    </xf>
    <xf numFmtId="166" fontId="2" fillId="3" borderId="0" xfId="0" applyNumberFormat="1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14" fontId="2" fillId="4" borderId="0" xfId="0" applyNumberFormat="1" applyFont="1" applyFill="1" applyAlignment="1">
      <alignment horizontal="center" vertical="center" wrapText="1"/>
    </xf>
    <xf numFmtId="49" fontId="2" fillId="4" borderId="0" xfId="0" applyNumberFormat="1" applyFont="1" applyFill="1" applyAlignment="1">
      <alignment horizontal="center" vertical="center" wrapText="1"/>
    </xf>
    <xf numFmtId="166" fontId="2" fillId="4" borderId="0" xfId="0" applyNumberFormat="1" applyFont="1" applyFill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/>
    </xf>
    <xf numFmtId="166" fontId="11" fillId="0" borderId="0" xfId="1" applyNumberFormat="1" applyFont="1" applyBorder="1" applyAlignment="1">
      <alignment horizontal="center" vertical="center"/>
    </xf>
    <xf numFmtId="0" fontId="11" fillId="0" borderId="0" xfId="1" applyNumberFormat="1" applyFont="1" applyBorder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8" fillId="2" borderId="0" xfId="0" applyNumberFormat="1" applyFont="1" applyFill="1" applyAlignment="1">
      <alignment horizontal="center" vertical="center" wrapText="1"/>
    </xf>
    <xf numFmtId="2" fontId="13" fillId="0" borderId="0" xfId="2" applyNumberFormat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/>
    </xf>
    <xf numFmtId="0" fontId="15" fillId="2" borderId="10" xfId="0" applyFont="1" applyFill="1" applyBorder="1" applyAlignment="1">
      <alignment horizontal="left" vertical="center"/>
    </xf>
    <xf numFmtId="4" fontId="16" fillId="0" borderId="11" xfId="0" applyNumberFormat="1" applyFont="1" applyBorder="1" applyAlignment="1">
      <alignment horizontal="center" vertical="center"/>
    </xf>
    <xf numFmtId="10" fontId="16" fillId="0" borderId="11" xfId="0" applyNumberFormat="1" applyFont="1" applyBorder="1" applyAlignment="1">
      <alignment horizontal="center" vertical="center"/>
    </xf>
    <xf numFmtId="10" fontId="16" fillId="2" borderId="11" xfId="0" applyNumberFormat="1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4" fontId="18" fillId="0" borderId="13" xfId="0" applyNumberFormat="1" applyFont="1" applyBorder="1" applyAlignment="1">
      <alignment horizontal="center" vertical="center"/>
    </xf>
    <xf numFmtId="2" fontId="16" fillId="0" borderId="11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10" fontId="17" fillId="7" borderId="11" xfId="0" applyNumberFormat="1" applyFont="1" applyFill="1" applyBorder="1" applyAlignment="1">
      <alignment horizontal="center" vertical="center"/>
    </xf>
    <xf numFmtId="0" fontId="19" fillId="7" borderId="10" xfId="0" applyFont="1" applyFill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7" fillId="0" borderId="13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7" borderId="10" xfId="0" applyFont="1" applyFill="1" applyBorder="1" applyAlignment="1">
      <alignment horizontal="left" vertical="center"/>
    </xf>
    <xf numFmtId="0" fontId="18" fillId="7" borderId="11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4" fontId="18" fillId="0" borderId="0" xfId="0" applyNumberFormat="1" applyFont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4" fontId="16" fillId="0" borderId="5" xfId="0" applyNumberFormat="1" applyFont="1" applyBorder="1" applyAlignment="1">
      <alignment horizontal="center" vertical="center"/>
    </xf>
    <xf numFmtId="10" fontId="16" fillId="0" borderId="5" xfId="0" applyNumberFormat="1" applyFont="1" applyBorder="1" applyAlignment="1">
      <alignment horizontal="center" vertical="center"/>
    </xf>
    <xf numFmtId="0" fontId="15" fillId="2" borderId="4" xfId="0" applyFont="1" applyFill="1" applyBorder="1" applyAlignment="1">
      <alignment horizontal="left" vertical="center"/>
    </xf>
    <xf numFmtId="10" fontId="16" fillId="2" borderId="5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17" fillId="0" borderId="5" xfId="0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8" fillId="0" borderId="6" xfId="0" applyFont="1" applyBorder="1" applyAlignment="1">
      <alignment horizontal="left" vertical="center"/>
    </xf>
    <xf numFmtId="4" fontId="18" fillId="0" borderId="7" xfId="0" applyNumberFormat="1" applyFont="1" applyBorder="1" applyAlignment="1">
      <alignment horizontal="center" vertical="center"/>
    </xf>
    <xf numFmtId="10" fontId="18" fillId="0" borderId="13" xfId="0" applyNumberFormat="1" applyFont="1" applyBorder="1" applyAlignment="1">
      <alignment horizontal="center" vertical="center"/>
    </xf>
    <xf numFmtId="0" fontId="20" fillId="0" borderId="0" xfId="0" applyFont="1"/>
    <xf numFmtId="0" fontId="22" fillId="12" borderId="0" xfId="0" applyFont="1" applyFill="1"/>
    <xf numFmtId="0" fontId="21" fillId="0" borderId="0" xfId="0" applyFont="1" applyAlignment="1">
      <alignment vertical="center"/>
    </xf>
    <xf numFmtId="0" fontId="22" fillId="0" borderId="0" xfId="0" applyFont="1"/>
    <xf numFmtId="0" fontId="21" fillId="12" borderId="14" xfId="0" applyFont="1" applyFill="1" applyBorder="1" applyAlignment="1">
      <alignment horizontal="center" vertical="center" wrapText="1"/>
    </xf>
    <xf numFmtId="14" fontId="23" fillId="0" borderId="0" xfId="0" applyNumberFormat="1" applyFont="1" applyAlignment="1">
      <alignment horizontal="center" vertical="center"/>
    </xf>
    <xf numFmtId="167" fontId="23" fillId="0" borderId="0" xfId="2" applyNumberFormat="1" applyFont="1" applyFill="1" applyBorder="1" applyAlignment="1">
      <alignment horizontal="right" vertical="center"/>
    </xf>
    <xf numFmtId="168" fontId="23" fillId="0" borderId="0" xfId="0" applyNumberFormat="1" applyFont="1" applyAlignment="1">
      <alignment horizontal="right" vertical="center"/>
    </xf>
    <xf numFmtId="169" fontId="22" fillId="0" borderId="0" xfId="0" applyNumberFormat="1" applyFont="1" applyAlignment="1">
      <alignment vertical="center"/>
    </xf>
    <xf numFmtId="3" fontId="23" fillId="0" borderId="0" xfId="0" applyNumberFormat="1" applyFont="1" applyAlignment="1">
      <alignment horizontal="right" vertical="center"/>
    </xf>
    <xf numFmtId="165" fontId="23" fillId="0" borderId="0" xfId="0" applyNumberFormat="1" applyFont="1" applyAlignment="1">
      <alignment horizontal="left" vertical="center"/>
    </xf>
    <xf numFmtId="0" fontId="21" fillId="12" borderId="0" xfId="0" applyFont="1" applyFill="1"/>
    <xf numFmtId="168" fontId="21" fillId="12" borderId="0" xfId="0" applyNumberFormat="1" applyFont="1" applyFill="1" applyAlignment="1">
      <alignment horizontal="left"/>
    </xf>
    <xf numFmtId="14" fontId="8" fillId="2" borderId="17" xfId="0" applyNumberFormat="1" applyFont="1" applyFill="1" applyBorder="1" applyAlignment="1">
      <alignment horizontal="center" vertical="center" wrapText="1"/>
    </xf>
    <xf numFmtId="0" fontId="9" fillId="14" borderId="4" xfId="0" applyFont="1" applyFill="1" applyBorder="1" applyAlignment="1">
      <alignment horizontal="center" vertical="center"/>
    </xf>
    <xf numFmtId="0" fontId="9" fillId="14" borderId="0" xfId="2" applyNumberFormat="1" applyFont="1" applyFill="1" applyBorder="1" applyAlignment="1">
      <alignment horizontal="center" vertical="center"/>
    </xf>
    <xf numFmtId="14" fontId="9" fillId="14" borderId="0" xfId="2" applyNumberFormat="1" applyFont="1" applyFill="1" applyBorder="1" applyAlignment="1">
      <alignment horizontal="center" vertical="center"/>
    </xf>
    <xf numFmtId="2" fontId="9" fillId="14" borderId="0" xfId="2" applyNumberFormat="1" applyFont="1" applyFill="1" applyBorder="1" applyAlignment="1">
      <alignment horizontal="center" vertical="center"/>
    </xf>
    <xf numFmtId="2" fontId="13" fillId="14" borderId="16" xfId="2" applyNumberFormat="1" applyFont="1" applyFill="1" applyBorder="1" applyAlignment="1">
      <alignment horizontal="center" vertical="center"/>
    </xf>
    <xf numFmtId="0" fontId="9" fillId="14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13" borderId="0" xfId="0" applyFont="1" applyFill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14" fontId="26" fillId="13" borderId="0" xfId="0" applyNumberFormat="1" applyFont="1" applyFill="1" applyAlignment="1">
      <alignment horizontal="center" vertical="center"/>
    </xf>
    <xf numFmtId="14" fontId="26" fillId="7" borderId="0" xfId="0" applyNumberFormat="1" applyFont="1" applyFill="1" applyAlignment="1">
      <alignment horizontal="center" vertical="center"/>
    </xf>
    <xf numFmtId="166" fontId="22" fillId="0" borderId="0" xfId="0" applyNumberFormat="1" applyFont="1" applyAlignment="1">
      <alignment horizontal="center" vertical="center"/>
    </xf>
    <xf numFmtId="166" fontId="22" fillId="13" borderId="0" xfId="0" applyNumberFormat="1" applyFont="1" applyFill="1" applyAlignment="1">
      <alignment horizontal="center" vertical="center"/>
    </xf>
    <xf numFmtId="166" fontId="22" fillId="0" borderId="0" xfId="0" applyNumberFormat="1" applyFont="1" applyAlignment="1">
      <alignment horizontal="center"/>
    </xf>
    <xf numFmtId="166" fontId="22" fillId="13" borderId="0" xfId="0" applyNumberFormat="1" applyFont="1" applyFill="1" applyAlignment="1">
      <alignment horizontal="center"/>
    </xf>
    <xf numFmtId="9" fontId="22" fillId="0" borderId="0" xfId="2" applyFont="1" applyAlignment="1">
      <alignment horizontal="center"/>
    </xf>
    <xf numFmtId="9" fontId="22" fillId="13" borderId="0" xfId="2" applyFont="1" applyFill="1" applyAlignment="1">
      <alignment horizontal="center"/>
    </xf>
    <xf numFmtId="0" fontId="24" fillId="15" borderId="15" xfId="0" applyFont="1" applyFill="1" applyBorder="1" applyAlignment="1">
      <alignment vertical="center"/>
    </xf>
    <xf numFmtId="0" fontId="22" fillId="15" borderId="15" xfId="0" applyFont="1" applyFill="1" applyBorder="1" applyAlignment="1">
      <alignment vertical="center"/>
    </xf>
    <xf numFmtId="0" fontId="27" fillId="15" borderId="15" xfId="0" applyFont="1" applyFill="1" applyBorder="1" applyAlignment="1">
      <alignment horizontal="center" vertical="center"/>
    </xf>
    <xf numFmtId="166" fontId="27" fillId="15" borderId="15" xfId="5" applyNumberFormat="1" applyFont="1" applyFill="1" applyBorder="1" applyAlignment="1">
      <alignment horizontal="center" vertical="center"/>
    </xf>
    <xf numFmtId="3" fontId="25" fillId="15" borderId="15" xfId="0" applyNumberFormat="1" applyFont="1" applyFill="1" applyBorder="1" applyAlignment="1">
      <alignment horizontal="right" vertical="center"/>
    </xf>
    <xf numFmtId="9" fontId="22" fillId="0" borderId="0" xfId="2" applyFont="1" applyAlignment="1">
      <alignment horizontal="center" vertical="center"/>
    </xf>
    <xf numFmtId="9" fontId="22" fillId="13" borderId="0" xfId="2" applyFont="1" applyFill="1" applyAlignment="1">
      <alignment horizontal="center" vertical="center"/>
    </xf>
    <xf numFmtId="166" fontId="25" fillId="15" borderId="15" xfId="0" applyNumberFormat="1" applyFont="1" applyFill="1" applyBorder="1" applyAlignment="1">
      <alignment horizontal="center" vertical="center"/>
    </xf>
    <xf numFmtId="166" fontId="25" fillId="15" borderId="15" xfId="5" applyNumberFormat="1" applyFont="1" applyFill="1" applyBorder="1" applyAlignment="1">
      <alignment horizontal="center" vertical="center"/>
    </xf>
    <xf numFmtId="0" fontId="21" fillId="16" borderId="0" xfId="0" applyFont="1" applyFill="1"/>
    <xf numFmtId="0" fontId="22" fillId="16" borderId="0" xfId="0" applyFont="1" applyFill="1"/>
    <xf numFmtId="168" fontId="21" fillId="16" borderId="0" xfId="0" applyNumberFormat="1" applyFont="1" applyFill="1" applyAlignment="1">
      <alignment horizontal="left"/>
    </xf>
    <xf numFmtId="168" fontId="28" fillId="17" borderId="0" xfId="0" applyNumberFormat="1" applyFont="1" applyFill="1" applyAlignment="1">
      <alignment horizontal="left"/>
    </xf>
    <xf numFmtId="0" fontId="21" fillId="17" borderId="14" xfId="0" applyFont="1" applyFill="1" applyBorder="1" applyAlignment="1">
      <alignment horizontal="center" vertical="center" wrapText="1"/>
    </xf>
    <xf numFmtId="0" fontId="24" fillId="18" borderId="15" xfId="0" applyFont="1" applyFill="1" applyBorder="1" applyAlignment="1">
      <alignment vertical="center"/>
    </xf>
    <xf numFmtId="0" fontId="22" fillId="18" borderId="15" xfId="0" applyFont="1" applyFill="1" applyBorder="1" applyAlignment="1">
      <alignment vertical="center"/>
    </xf>
    <xf numFmtId="0" fontId="27" fillId="18" borderId="15" xfId="0" applyFont="1" applyFill="1" applyBorder="1" applyAlignment="1">
      <alignment horizontal="center" vertical="center"/>
    </xf>
    <xf numFmtId="166" fontId="27" fillId="18" borderId="15" xfId="5" applyNumberFormat="1" applyFont="1" applyFill="1" applyBorder="1" applyAlignment="1">
      <alignment horizontal="center" vertical="center"/>
    </xf>
    <xf numFmtId="3" fontId="25" fillId="18" borderId="15" xfId="0" applyNumberFormat="1" applyFont="1" applyFill="1" applyBorder="1" applyAlignment="1">
      <alignment horizontal="right" vertical="center"/>
    </xf>
    <xf numFmtId="166" fontId="25" fillId="18" borderId="15" xfId="5" applyNumberFormat="1" applyFont="1" applyFill="1" applyBorder="1" applyAlignment="1">
      <alignment horizontal="center" vertical="center"/>
    </xf>
    <xf numFmtId="166" fontId="25" fillId="18" borderId="15" xfId="0" applyNumberFormat="1" applyFont="1" applyFill="1" applyBorder="1" applyAlignment="1">
      <alignment horizontal="center" vertical="center"/>
    </xf>
    <xf numFmtId="1" fontId="10" fillId="0" borderId="0" xfId="1" applyNumberFormat="1" applyFont="1" applyFill="1" applyBorder="1" applyAlignment="1">
      <alignment horizontal="center" vertical="center"/>
    </xf>
    <xf numFmtId="49" fontId="29" fillId="3" borderId="0" xfId="0" applyNumberFormat="1" applyFont="1" applyFill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/>
    </xf>
    <xf numFmtId="0" fontId="30" fillId="0" borderId="0" xfId="0" applyFont="1"/>
    <xf numFmtId="0" fontId="31" fillId="0" borderId="0" xfId="0" applyFont="1"/>
    <xf numFmtId="0" fontId="14" fillId="10" borderId="8" xfId="0" applyFont="1" applyFill="1" applyBorder="1" applyAlignment="1">
      <alignment horizontal="center" vertical="center"/>
    </xf>
    <xf numFmtId="0" fontId="14" fillId="10" borderId="9" xfId="0" applyFont="1" applyFill="1" applyBorder="1" applyAlignment="1">
      <alignment horizontal="center" vertical="center"/>
    </xf>
    <xf numFmtId="0" fontId="14" fillId="11" borderId="8" xfId="0" applyFont="1" applyFill="1" applyBorder="1" applyAlignment="1">
      <alignment horizontal="center" vertical="center"/>
    </xf>
    <xf numFmtId="0" fontId="14" fillId="11" borderId="9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4" fillId="9" borderId="8" xfId="0" applyFont="1" applyFill="1" applyBorder="1" applyAlignment="1">
      <alignment horizontal="center" vertical="center"/>
    </xf>
    <xf numFmtId="0" fontId="14" fillId="9" borderId="9" xfId="0" applyFont="1" applyFill="1" applyBorder="1" applyAlignment="1">
      <alignment horizontal="center" vertical="center"/>
    </xf>
    <xf numFmtId="0" fontId="14" fillId="8" borderId="8" xfId="0" applyFont="1" applyFill="1" applyBorder="1" applyAlignment="1">
      <alignment horizontal="center" vertical="center"/>
    </xf>
    <xf numFmtId="0" fontId="14" fillId="8" borderId="9" xfId="0" applyFont="1" applyFill="1" applyBorder="1" applyAlignment="1">
      <alignment horizontal="center" vertical="center"/>
    </xf>
    <xf numFmtId="0" fontId="0" fillId="0" borderId="0" xfId="0" applyFont="1"/>
    <xf numFmtId="10" fontId="30" fillId="0" borderId="0" xfId="0" applyNumberFormat="1" applyFont="1"/>
  </cellXfs>
  <cellStyles count="6">
    <cellStyle name="Comma" xfId="1" builtinId="3"/>
    <cellStyle name="Currency" xfId="5" builtinId="4"/>
    <cellStyle name="Normal" xfId="0" builtinId="0"/>
    <cellStyle name="Normal 2" xfId="4" xr:uid="{300AA834-144D-E044-84BB-1BFF259E3F3D}"/>
    <cellStyle name="Normal 3" xfId="3" xr:uid="{A031E464-3A5A-4E49-B5C2-1D7DCCB51932}"/>
    <cellStyle name="Per cent" xfId="2" builtinId="5"/>
  </cellStyles>
  <dxfs count="0"/>
  <tableStyles count="0" defaultTableStyle="TableStyleMedium2" defaultPivotStyle="PivotStyleLight16"/>
  <colors>
    <mruColors>
      <color rgb="FFFBA4FF"/>
      <color rgb="FFC6A8E9"/>
      <color rgb="FFBBC0EA"/>
      <color rgb="FFCD911D"/>
      <color rgb="FF392C63"/>
      <color rgb="FFC1B3F8"/>
      <color rgb="FF9489BD"/>
      <color rgb="FFFAA4FF"/>
      <color rgb="FFCD901E"/>
      <color rgb="FFD0AE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053047107945099"/>
          <c:y val="6.7170763696333943E-2"/>
          <c:w val="0.7421057717247026"/>
          <c:h val="0.88611953050493197"/>
        </c:manualLayout>
      </c:layout>
      <c:doughnutChart>
        <c:varyColors val="1"/>
        <c:ser>
          <c:idx val="0"/>
          <c:order val="0"/>
          <c:tx>
            <c:strRef>
              <c:f>Technical!$B$1</c:f>
              <c:strCache>
                <c:ptCount val="1"/>
                <c:pt idx="0">
                  <c:v>Card &amp; Cash</c:v>
                </c:pt>
              </c:strCache>
            </c:strRef>
          </c:tx>
          <c:spPr>
            <a:solidFill>
              <a:srgbClr val="BBC0E9"/>
            </a:solidFill>
            <a:ln>
              <a:solidFill>
                <a:schemeClr val="lt1">
                  <a:alpha val="0"/>
                </a:schemeClr>
              </a:solidFill>
            </a:ln>
          </c:spPr>
          <c:dPt>
            <c:idx val="0"/>
            <c:bubble3D val="0"/>
            <c:spPr>
              <a:solidFill>
                <a:srgbClr val="9489BD"/>
              </a:solidFill>
              <a:ln w="19050">
                <a:solidFill>
                  <a:schemeClr val="lt1">
                    <a:alpha val="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7E0-9347-A572-FAB6971CE479}"/>
              </c:ext>
            </c:extLst>
          </c:dPt>
          <c:dPt>
            <c:idx val="1"/>
            <c:bubble3D val="0"/>
            <c:spPr>
              <a:solidFill>
                <a:srgbClr val="FAA4FF"/>
              </a:solidFill>
              <a:ln w="19050">
                <a:solidFill>
                  <a:schemeClr val="lt1">
                    <a:alpha val="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7E0-9347-A572-FAB6971CE479}"/>
              </c:ext>
            </c:extLst>
          </c:dPt>
          <c:dPt>
            <c:idx val="2"/>
            <c:bubble3D val="0"/>
            <c:spPr>
              <a:solidFill>
                <a:srgbClr val="C6A8E8"/>
              </a:solidFill>
              <a:ln w="19050">
                <a:solidFill>
                  <a:schemeClr val="lt1">
                    <a:alpha val="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7E0-9347-A572-FAB6971CE479}"/>
              </c:ext>
            </c:extLst>
          </c:dPt>
          <c:dPt>
            <c:idx val="3"/>
            <c:bubble3D val="0"/>
            <c:spPr>
              <a:solidFill>
                <a:srgbClr val="BBC0E9"/>
              </a:solidFill>
              <a:ln w="19050">
                <a:solidFill>
                  <a:schemeClr val="lt1">
                    <a:alpha val="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7E0-9347-A572-FAB6971CE479}"/>
              </c:ext>
            </c:extLst>
          </c:dPt>
          <c:dPt>
            <c:idx val="4"/>
            <c:bubble3D val="0"/>
            <c:spPr>
              <a:solidFill>
                <a:srgbClr val="BBC0E9"/>
              </a:solidFill>
              <a:ln w="19050">
                <a:solidFill>
                  <a:schemeClr val="lt1">
                    <a:alpha val="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7E0-9347-A572-FAB6971CE479}"/>
              </c:ext>
            </c:extLst>
          </c:dPt>
          <c:dPt>
            <c:idx val="5"/>
            <c:bubble3D val="0"/>
            <c:spPr>
              <a:solidFill>
                <a:srgbClr val="BBC0E9"/>
              </a:solidFill>
              <a:ln w="19050">
                <a:solidFill>
                  <a:schemeClr val="lt1">
                    <a:alpha val="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7E0-9347-A572-FAB6971CE479}"/>
              </c:ext>
            </c:extLst>
          </c:dPt>
          <c:dPt>
            <c:idx val="6"/>
            <c:bubble3D val="0"/>
            <c:spPr>
              <a:solidFill>
                <a:srgbClr val="BBC0E9"/>
              </a:solidFill>
              <a:ln w="19050">
                <a:solidFill>
                  <a:schemeClr val="lt1">
                    <a:alpha val="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7E0-9347-A572-FAB6971CE479}"/>
              </c:ext>
            </c:extLst>
          </c:dPt>
          <c:dPt>
            <c:idx val="7"/>
            <c:bubble3D val="0"/>
            <c:spPr>
              <a:solidFill>
                <a:srgbClr val="BBC0E9"/>
              </a:solidFill>
              <a:ln w="19050">
                <a:solidFill>
                  <a:schemeClr val="lt1">
                    <a:alpha val="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7E0-9347-A572-FAB6971CE479}"/>
              </c:ext>
            </c:extLst>
          </c:dPt>
          <c:dPt>
            <c:idx val="8"/>
            <c:bubble3D val="0"/>
            <c:spPr>
              <a:solidFill>
                <a:srgbClr val="BBC0E9"/>
              </a:solidFill>
              <a:ln w="19050">
                <a:solidFill>
                  <a:schemeClr val="lt1">
                    <a:alpha val="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7E0-9347-A572-FAB6971CE479}"/>
              </c:ext>
            </c:extLst>
          </c:dPt>
          <c:dPt>
            <c:idx val="9"/>
            <c:bubble3D val="0"/>
            <c:spPr>
              <a:solidFill>
                <a:srgbClr val="BBC0E9"/>
              </a:solidFill>
              <a:ln w="19050">
                <a:solidFill>
                  <a:schemeClr val="lt1">
                    <a:alpha val="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D7E0-9347-A572-FAB6971CE479}"/>
              </c:ext>
            </c:extLst>
          </c:dPt>
          <c:dPt>
            <c:idx val="10"/>
            <c:bubble3D val="0"/>
            <c:spPr>
              <a:solidFill>
                <a:srgbClr val="BBC0E9"/>
              </a:solidFill>
              <a:ln w="19050">
                <a:solidFill>
                  <a:schemeClr val="lt1">
                    <a:alpha val="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D7E0-9347-A572-FAB6971CE479}"/>
              </c:ext>
            </c:extLst>
          </c:dPt>
          <c:dPt>
            <c:idx val="11"/>
            <c:bubble3D val="0"/>
            <c:spPr>
              <a:solidFill>
                <a:srgbClr val="D0AE48"/>
              </a:solidFill>
              <a:ln w="19050">
                <a:solidFill>
                  <a:schemeClr val="lt1">
                    <a:alpha val="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D7E0-9347-A572-FAB6971CE479}"/>
              </c:ext>
            </c:extLst>
          </c:dPt>
          <c:dPt>
            <c:idx val="12"/>
            <c:bubble3D val="0"/>
            <c:spPr>
              <a:solidFill>
                <a:srgbClr val="F3CC52"/>
              </a:solidFill>
              <a:ln w="19050">
                <a:solidFill>
                  <a:schemeClr val="lt1">
                    <a:alpha val="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D7E0-9347-A572-FAB6971CE479}"/>
              </c:ext>
            </c:extLst>
          </c:dPt>
          <c:dPt>
            <c:idx val="13"/>
            <c:bubble3D val="0"/>
            <c:spPr>
              <a:solidFill>
                <a:srgbClr val="BBC0E9"/>
              </a:solidFill>
              <a:ln w="19050">
                <a:solidFill>
                  <a:schemeClr val="lt1">
                    <a:alpha val="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D7E0-9347-A572-FAB6971CE479}"/>
              </c:ext>
            </c:extLst>
          </c:dPt>
          <c:dPt>
            <c:idx val="14"/>
            <c:bubble3D val="0"/>
            <c:spPr>
              <a:solidFill>
                <a:srgbClr val="BBC0E9"/>
              </a:solidFill>
              <a:ln w="19050">
                <a:solidFill>
                  <a:schemeClr val="lt1">
                    <a:alpha val="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D7E0-9347-A572-FAB6971CE479}"/>
              </c:ext>
            </c:extLst>
          </c:dPt>
          <c:dPt>
            <c:idx val="15"/>
            <c:bubble3D val="0"/>
            <c:spPr>
              <a:solidFill>
                <a:srgbClr val="BBC0E9"/>
              </a:solidFill>
              <a:ln w="19050">
                <a:solidFill>
                  <a:schemeClr val="lt1">
                    <a:alpha val="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D7E0-9347-A572-FAB6971CE479}"/>
              </c:ext>
            </c:extLst>
          </c:dPt>
          <c:dPt>
            <c:idx val="16"/>
            <c:bubble3D val="0"/>
            <c:spPr>
              <a:solidFill>
                <a:srgbClr val="BBC0E9"/>
              </a:solidFill>
              <a:ln w="19050">
                <a:solidFill>
                  <a:schemeClr val="lt1">
                    <a:alpha val="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D7E0-9347-A572-FAB6971CE479}"/>
              </c:ext>
            </c:extLst>
          </c:dPt>
          <c:dPt>
            <c:idx val="17"/>
            <c:bubble3D val="0"/>
            <c:spPr>
              <a:solidFill>
                <a:srgbClr val="BBC0E9"/>
              </a:solidFill>
              <a:ln w="19050">
                <a:solidFill>
                  <a:schemeClr val="lt1">
                    <a:alpha val="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D7E0-9347-A572-FAB6971CE479}"/>
              </c:ext>
            </c:extLst>
          </c:dPt>
          <c:dPt>
            <c:idx val="18"/>
            <c:bubble3D val="0"/>
            <c:spPr>
              <a:solidFill>
                <a:srgbClr val="BBC0E9"/>
              </a:solidFill>
              <a:ln w="19050">
                <a:solidFill>
                  <a:schemeClr val="lt1">
                    <a:alpha val="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D7E0-9347-A572-FAB6971CE479}"/>
              </c:ext>
            </c:extLst>
          </c:dPt>
          <c:dPt>
            <c:idx val="19"/>
            <c:bubble3D val="0"/>
            <c:spPr>
              <a:solidFill>
                <a:srgbClr val="BBC0E9"/>
              </a:solidFill>
              <a:ln w="19050">
                <a:solidFill>
                  <a:schemeClr val="lt1">
                    <a:alpha val="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D7E0-9347-A572-FAB6971CE479}"/>
              </c:ext>
            </c:extLst>
          </c:dPt>
          <c:dPt>
            <c:idx val="20"/>
            <c:bubble3D val="0"/>
            <c:spPr>
              <a:solidFill>
                <a:srgbClr val="BBC0E9"/>
              </a:solidFill>
              <a:ln w="19050">
                <a:solidFill>
                  <a:schemeClr val="lt1">
                    <a:alpha val="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D7E0-9347-A572-FAB6971CE479}"/>
              </c:ext>
            </c:extLst>
          </c:dPt>
          <c:dPt>
            <c:idx val="21"/>
            <c:bubble3D val="0"/>
            <c:spPr>
              <a:solidFill>
                <a:srgbClr val="BBC0E9"/>
              </a:solidFill>
              <a:ln w="19050">
                <a:solidFill>
                  <a:schemeClr val="lt1">
                    <a:alpha val="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D7E0-9347-A572-FAB6971CE479}"/>
              </c:ext>
            </c:extLst>
          </c:dPt>
          <c:dPt>
            <c:idx val="22"/>
            <c:bubble3D val="0"/>
            <c:spPr>
              <a:solidFill>
                <a:srgbClr val="392C6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D7E0-9347-A572-FAB6971CE479}"/>
              </c:ext>
            </c:extLst>
          </c:dPt>
          <c:dPt>
            <c:idx val="23"/>
            <c:bubble3D val="0"/>
            <c:spPr>
              <a:solidFill>
                <a:srgbClr val="CD911D"/>
              </a:solidFill>
              <a:ln w="19050">
                <a:solidFill>
                  <a:schemeClr val="lt1">
                    <a:alpha val="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D7E0-9347-A572-FAB6971CE479}"/>
              </c:ext>
            </c:extLst>
          </c:dPt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E0-9347-A572-FAB6971CE47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E0-9347-A572-FAB6971CE47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7E0-9347-A572-FAB6971CE47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7E0-9347-A572-FAB6971CE47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7E0-9347-A572-FAB6971CE47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7E0-9347-A572-FAB6971CE47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7E0-9347-A572-FAB6971CE479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7E0-9347-A572-FAB6971CE479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7E0-9347-A572-FAB6971CE479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7E0-9347-A572-FAB6971CE479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7E0-9347-A572-FAB6971CE479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D7E0-9347-A572-FAB6971CE479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D7E0-9347-A572-FAB6971CE479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D7E0-9347-A572-FAB6971CE479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D7E0-9347-A572-FAB6971CE479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D7E0-9347-A572-FAB6971CE479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D7E0-9347-A572-FAB6971CE479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D7E0-9347-A572-FAB6971CE4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Technical!$A$2:$A$25</c:f>
              <c:strCache>
                <c:ptCount val="24"/>
                <c:pt idx="0">
                  <c:v>Glazed Donut</c:v>
                </c:pt>
                <c:pt idx="1">
                  <c:v>Vanilla Sprinkles Donut</c:v>
                </c:pt>
                <c:pt idx="2">
                  <c:v>Pumpkin Donut</c:v>
                </c:pt>
                <c:pt idx="3">
                  <c:v>Water</c:v>
                </c:pt>
                <c:pt idx="4">
                  <c:v>-</c:v>
                </c:pt>
                <c:pt idx="5">
                  <c:v>-</c:v>
                </c:pt>
                <c:pt idx="6">
                  <c:v>-</c:v>
                </c:pt>
                <c:pt idx="7">
                  <c:v>-</c:v>
                </c:pt>
                <c:pt idx="8">
                  <c:v>-</c:v>
                </c:pt>
                <c:pt idx="9">
                  <c:v>-</c:v>
                </c:pt>
                <c:pt idx="10">
                  <c:v>-</c:v>
                </c:pt>
                <c:pt idx="11">
                  <c:v>Glazed Donut</c:v>
                </c:pt>
                <c:pt idx="12">
                  <c:v>Vanilla Sprinkles Donut</c:v>
                </c:pt>
                <c:pt idx="13">
                  <c:v>Pumpkin Donut</c:v>
                </c:pt>
                <c:pt idx="14">
                  <c:v>Water</c:v>
                </c:pt>
                <c:pt idx="15">
                  <c:v>-</c:v>
                </c:pt>
                <c:pt idx="16">
                  <c:v>-</c:v>
                </c:pt>
                <c:pt idx="17">
                  <c:v>-</c:v>
                </c:pt>
                <c:pt idx="18">
                  <c:v>-</c:v>
                </c:pt>
                <c:pt idx="19">
                  <c:v>-</c:v>
                </c:pt>
                <c:pt idx="20">
                  <c:v>-</c:v>
                </c:pt>
                <c:pt idx="21">
                  <c:v>-</c:v>
                </c:pt>
                <c:pt idx="22">
                  <c:v>Card</c:v>
                </c:pt>
                <c:pt idx="23">
                  <c:v>Cash</c:v>
                </c:pt>
              </c:strCache>
            </c:strRef>
          </c:cat>
          <c:val>
            <c:numRef>
              <c:f>Technical!$B$2:$B$25</c:f>
              <c:numCache>
                <c:formatCode>General</c:formatCode>
                <c:ptCount val="24"/>
                <c:pt idx="0">
                  <c:v>47.160000000000004</c:v>
                </c:pt>
                <c:pt idx="1">
                  <c:v>49.42</c:v>
                </c:pt>
                <c:pt idx="2">
                  <c:v>46.800000000000004</c:v>
                </c:pt>
                <c:pt idx="3">
                  <c:v>35.400000000000006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15.72</c:v>
                </c:pt>
                <c:pt idx="12">
                  <c:v>24.71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D7E0-9347-A572-FAB6971CE479}"/>
            </c:ext>
          </c:extLst>
        </c:ser>
        <c:ser>
          <c:idx val="1"/>
          <c:order val="1"/>
          <c:tx>
            <c:strRef>
              <c:f>Technical!$C$1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2-D7E0-9347-A572-FAB6971CE47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4-D7E0-9347-A572-FAB6971CE47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6-D7E0-9347-A572-FAB6971CE47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8-D7E0-9347-A572-FAB6971CE47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A-D7E0-9347-A572-FAB6971CE47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C-D7E0-9347-A572-FAB6971CE47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E-D7E0-9347-A572-FAB6971CE47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0-D7E0-9347-A572-FAB6971CE47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2-D7E0-9347-A572-FAB6971CE47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4-D7E0-9347-A572-FAB6971CE47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6-D7E0-9347-A572-FAB6971CE47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8-D7E0-9347-A572-FAB6971CE47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A-D7E0-9347-A572-FAB6971CE47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C-D7E0-9347-A572-FAB6971CE479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E-D7E0-9347-A572-FAB6971CE479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0-D7E0-9347-A572-FAB6971CE479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2-D7E0-9347-A572-FAB6971CE479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4-D7E0-9347-A572-FAB6971CE479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6-D7E0-9347-A572-FAB6971CE479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8-D7E0-9347-A572-FAB6971CE479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A-D7E0-9347-A572-FAB6971CE479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C-D7E0-9347-A572-FAB6971CE479}"/>
              </c:ext>
            </c:extLst>
          </c:dPt>
          <c:dPt>
            <c:idx val="22"/>
            <c:bubble3D val="0"/>
            <c:spPr>
              <a:solidFill>
                <a:srgbClr val="392C63"/>
              </a:solidFill>
              <a:ln w="19050">
                <a:solidFill>
                  <a:schemeClr val="lt1">
                    <a:alpha val="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E-D7E0-9347-A572-FAB6971CE479}"/>
              </c:ext>
            </c:extLst>
          </c:dPt>
          <c:dPt>
            <c:idx val="23"/>
            <c:bubble3D val="0"/>
            <c:spPr>
              <a:solidFill>
                <a:srgbClr val="CD901E"/>
              </a:solidFill>
              <a:ln w="19050">
                <a:solidFill>
                  <a:schemeClr val="lt1">
                    <a:alpha val="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0-D7E0-9347-A572-FAB6971CE479}"/>
              </c:ext>
            </c:extLst>
          </c:dPt>
          <c:dLbls>
            <c:dLbl>
              <c:idx val="22"/>
              <c:layout>
                <c:manualLayout>
                  <c:x val="-1.5123724260667741E-2"/>
                  <c:y val="4.541062589599557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E-D7E0-9347-A572-FAB6971CE479}"/>
                </c:ext>
              </c:extLst>
            </c:dLbl>
            <c:dLbl>
              <c:idx val="2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0-D7E0-9347-A572-FAB6971CE4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/>
            </c:extLst>
          </c:dLbls>
          <c:cat>
            <c:strRef>
              <c:f>Technical!$A$2:$A$25</c:f>
              <c:strCache>
                <c:ptCount val="24"/>
                <c:pt idx="0">
                  <c:v>Glazed Donut</c:v>
                </c:pt>
                <c:pt idx="1">
                  <c:v>Vanilla Sprinkles Donut</c:v>
                </c:pt>
                <c:pt idx="2">
                  <c:v>Pumpkin Donut</c:v>
                </c:pt>
                <c:pt idx="3">
                  <c:v>Water</c:v>
                </c:pt>
                <c:pt idx="4">
                  <c:v>-</c:v>
                </c:pt>
                <c:pt idx="5">
                  <c:v>-</c:v>
                </c:pt>
                <c:pt idx="6">
                  <c:v>-</c:v>
                </c:pt>
                <c:pt idx="7">
                  <c:v>-</c:v>
                </c:pt>
                <c:pt idx="8">
                  <c:v>-</c:v>
                </c:pt>
                <c:pt idx="9">
                  <c:v>-</c:v>
                </c:pt>
                <c:pt idx="10">
                  <c:v>-</c:v>
                </c:pt>
                <c:pt idx="11">
                  <c:v>Glazed Donut</c:v>
                </c:pt>
                <c:pt idx="12">
                  <c:v>Vanilla Sprinkles Donut</c:v>
                </c:pt>
                <c:pt idx="13">
                  <c:v>Pumpkin Donut</c:v>
                </c:pt>
                <c:pt idx="14">
                  <c:v>Water</c:v>
                </c:pt>
                <c:pt idx="15">
                  <c:v>-</c:v>
                </c:pt>
                <c:pt idx="16">
                  <c:v>-</c:v>
                </c:pt>
                <c:pt idx="17">
                  <c:v>-</c:v>
                </c:pt>
                <c:pt idx="18">
                  <c:v>-</c:v>
                </c:pt>
                <c:pt idx="19">
                  <c:v>-</c:v>
                </c:pt>
                <c:pt idx="20">
                  <c:v>-</c:v>
                </c:pt>
                <c:pt idx="21">
                  <c:v>-</c:v>
                </c:pt>
                <c:pt idx="22">
                  <c:v>Card</c:v>
                </c:pt>
                <c:pt idx="23">
                  <c:v>Cash</c:v>
                </c:pt>
              </c:strCache>
            </c:strRef>
          </c:cat>
          <c:val>
            <c:numRef>
              <c:f>Technical!$C$2:$C$25</c:f>
              <c:numCache>
                <c:formatCode>General</c:formatCode>
                <c:ptCount val="24"/>
                <c:pt idx="22">
                  <c:v>178.78000000000003</c:v>
                </c:pt>
                <c:pt idx="23">
                  <c:v>40.43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1-D7E0-9347-A572-FAB6971CE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 sz="1800" b="1">
                <a:solidFill>
                  <a:schemeClr val="tx1"/>
                </a:solidFill>
              </a:rPr>
              <a:t>Profit</a:t>
            </a:r>
            <a:r>
              <a:rPr lang="en-GB" sz="1800" b="1" baseline="0">
                <a:solidFill>
                  <a:schemeClr val="tx1"/>
                </a:solidFill>
              </a:rPr>
              <a:t> per Product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E9-3240-A6E5-E812AAC546E7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0E9-3240-A6E5-E812AAC546E7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0E9-3240-A6E5-E812AAC546E7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0E9-3240-A6E5-E812AAC546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Summary!$B$25:$C$28</c15:sqref>
                  </c15:fullRef>
                  <c15:levelRef>
                    <c15:sqref>Summary!$B$25:$B$28</c15:sqref>
                  </c15:levelRef>
                </c:ext>
              </c:extLst>
              <c:f>Summary!$B$25:$B$28</c:f>
              <c:strCache>
                <c:ptCount val="4"/>
                <c:pt idx="0">
                  <c:v>Glazed Donut</c:v>
                </c:pt>
                <c:pt idx="1">
                  <c:v>Vanilla Sprinkles Donut</c:v>
                </c:pt>
                <c:pt idx="2">
                  <c:v>Pumpkin Donut</c:v>
                </c:pt>
                <c:pt idx="3">
                  <c:v>Water</c:v>
                </c:pt>
              </c:strCache>
            </c:strRef>
          </c:cat>
          <c:val>
            <c:numRef>
              <c:f>Summary!$F$25:$F$28</c:f>
              <c:numCache>
                <c:formatCode>"$"#,##0.00</c:formatCode>
                <c:ptCount val="4"/>
                <c:pt idx="0">
                  <c:v>39.300000000000004</c:v>
                </c:pt>
                <c:pt idx="1">
                  <c:v>21.18</c:v>
                </c:pt>
                <c:pt idx="2">
                  <c:v>3.9000000000000004</c:v>
                </c:pt>
                <c:pt idx="3">
                  <c:v>2.95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E9-3240-A6E5-E812AAC54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1"/>
        <c:overlap val="-27"/>
        <c:axId val="1980046080"/>
        <c:axId val="1207089008"/>
      </c:barChart>
      <c:catAx>
        <c:axId val="1980046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7089008"/>
        <c:crosses val="autoZero"/>
        <c:auto val="1"/>
        <c:lblAlgn val="ctr"/>
        <c:lblOffset val="100"/>
        <c:noMultiLvlLbl val="0"/>
      </c:catAx>
      <c:valAx>
        <c:axId val="1207089008"/>
        <c:scaling>
          <c:orientation val="minMax"/>
        </c:scaling>
        <c:delete val="0"/>
        <c:axPos val="l"/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0046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Technical!$A$33</c:f>
              <c:strCache>
                <c:ptCount val="1"/>
                <c:pt idx="0">
                  <c:v>Glazed Donut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Technical!$B$32:$C$32</c:f>
              <c:strCache>
                <c:ptCount val="2"/>
                <c:pt idx="0">
                  <c:v>Card Purchases Share (%)</c:v>
                </c:pt>
                <c:pt idx="1">
                  <c:v>Cash Purchases Share (%)</c:v>
                </c:pt>
              </c:strCache>
            </c:strRef>
          </c:cat>
          <c:val>
            <c:numRef>
              <c:f>Technical!$B$33:$C$33</c:f>
              <c:numCache>
                <c:formatCode>0.00%</c:formatCode>
                <c:ptCount val="2"/>
                <c:pt idx="0">
                  <c:v>0.26378789573777828</c:v>
                </c:pt>
                <c:pt idx="1">
                  <c:v>0.38882018303240168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10-6E4F-842A-ED307EF5A948}"/>
            </c:ext>
          </c:extLst>
        </c:ser>
        <c:ser>
          <c:idx val="1"/>
          <c:order val="1"/>
          <c:tx>
            <c:strRef>
              <c:f>Technical!$A$34</c:f>
              <c:strCache>
                <c:ptCount val="1"/>
                <c:pt idx="0">
                  <c:v>Vanilla Sprinkles Donut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Technical!$B$32:$C$32</c:f>
              <c:strCache>
                <c:ptCount val="2"/>
                <c:pt idx="0">
                  <c:v>Card Purchases Share (%)</c:v>
                </c:pt>
                <c:pt idx="1">
                  <c:v>Cash Purchases Share (%)</c:v>
                </c:pt>
              </c:strCache>
            </c:strRef>
          </c:cat>
          <c:val>
            <c:numRef>
              <c:f>Technical!$B$34:$C$34</c:f>
              <c:numCache>
                <c:formatCode>0.00%</c:formatCode>
                <c:ptCount val="2"/>
                <c:pt idx="0">
                  <c:v>0.27642913077525444</c:v>
                </c:pt>
                <c:pt idx="1">
                  <c:v>0.61117981696759838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10-6E4F-842A-ED307EF5A948}"/>
            </c:ext>
          </c:extLst>
        </c:ser>
        <c:ser>
          <c:idx val="2"/>
          <c:order val="2"/>
          <c:tx>
            <c:strRef>
              <c:f>Technical!$A$35</c:f>
              <c:strCache>
                <c:ptCount val="1"/>
                <c:pt idx="0">
                  <c:v>Pumpkin Donut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210-6E4F-842A-ED307EF5A9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Technical!$B$32:$C$32</c:f>
              <c:strCache>
                <c:ptCount val="2"/>
                <c:pt idx="0">
                  <c:v>Card Purchases Share (%)</c:v>
                </c:pt>
                <c:pt idx="1">
                  <c:v>Cash Purchases Share (%)</c:v>
                </c:pt>
              </c:strCache>
            </c:strRef>
          </c:cat>
          <c:val>
            <c:numRef>
              <c:f>Technical!$B$35:$C$35</c:f>
              <c:numCache>
                <c:formatCode>0.00%</c:formatCode>
                <c:ptCount val="2"/>
                <c:pt idx="0">
                  <c:v>0.26177424767871127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10-6E4F-842A-ED307EF5A948}"/>
            </c:ext>
          </c:extLst>
        </c:ser>
        <c:ser>
          <c:idx val="3"/>
          <c:order val="3"/>
          <c:tx>
            <c:strRef>
              <c:f>Technical!$A$36</c:f>
              <c:strCache>
                <c:ptCount val="1"/>
                <c:pt idx="0">
                  <c:v>Water</c:v>
                </c:pt>
              </c:strCache>
            </c:strRef>
          </c:tx>
          <c:spPr>
            <a:solidFill>
              <a:srgbClr val="BBC0EA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210-6E4F-842A-ED307EF5A9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Technical!$B$32:$C$32</c:f>
              <c:strCache>
                <c:ptCount val="2"/>
                <c:pt idx="0">
                  <c:v>Card Purchases Share (%)</c:v>
                </c:pt>
                <c:pt idx="1">
                  <c:v>Cash Purchases Share (%)</c:v>
                </c:pt>
              </c:strCache>
            </c:strRef>
          </c:cat>
          <c:val>
            <c:numRef>
              <c:f>Technical!$B$36:$C$36</c:f>
              <c:numCache>
                <c:formatCode>0.00%</c:formatCode>
                <c:ptCount val="2"/>
                <c:pt idx="0">
                  <c:v>0.19800872580825596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210-6E4F-842A-ED307EF5A948}"/>
            </c:ext>
          </c:extLst>
        </c:ser>
        <c:ser>
          <c:idx val="4"/>
          <c:order val="4"/>
          <c:tx>
            <c:strRef>
              <c:f>Technical!$A$37</c:f>
              <c:strCache>
                <c:ptCount val="1"/>
                <c:pt idx="0">
                  <c:v>-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Technical!$B$32:$C$32</c:f>
              <c:strCache>
                <c:ptCount val="2"/>
                <c:pt idx="0">
                  <c:v>Card Purchases Share (%)</c:v>
                </c:pt>
                <c:pt idx="1">
                  <c:v>Cash Purchases Share (%)</c:v>
                </c:pt>
              </c:strCache>
            </c:strRef>
          </c:cat>
          <c:val>
            <c:numRef>
              <c:f>Technical!$B$37:$C$37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210-6E4F-842A-ED307EF5A948}"/>
            </c:ext>
          </c:extLst>
        </c:ser>
        <c:ser>
          <c:idx val="5"/>
          <c:order val="5"/>
          <c:tx>
            <c:strRef>
              <c:f>Technical!$A$38</c:f>
              <c:strCache>
                <c:ptCount val="1"/>
                <c:pt idx="0">
                  <c:v>-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Technical!$B$32:$C$32</c:f>
              <c:strCache>
                <c:ptCount val="2"/>
                <c:pt idx="0">
                  <c:v>Card Purchases Share (%)</c:v>
                </c:pt>
                <c:pt idx="1">
                  <c:v>Cash Purchases Share (%)</c:v>
                </c:pt>
              </c:strCache>
            </c:strRef>
          </c:cat>
          <c:val>
            <c:numRef>
              <c:f>Technical!$B$38:$C$38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210-6E4F-842A-ED307EF5A948}"/>
            </c:ext>
          </c:extLst>
        </c:ser>
        <c:ser>
          <c:idx val="6"/>
          <c:order val="6"/>
          <c:tx>
            <c:strRef>
              <c:f>Technical!$A$39</c:f>
              <c:strCache>
                <c:ptCount val="1"/>
                <c:pt idx="0">
                  <c:v>-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Technical!$B$32:$C$32</c:f>
              <c:strCache>
                <c:ptCount val="2"/>
                <c:pt idx="0">
                  <c:v>Card Purchases Share (%)</c:v>
                </c:pt>
                <c:pt idx="1">
                  <c:v>Cash Purchases Share (%)</c:v>
                </c:pt>
              </c:strCache>
            </c:strRef>
          </c:cat>
          <c:val>
            <c:numRef>
              <c:f>Technical!$B$39:$C$39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210-6E4F-842A-ED307EF5A948}"/>
            </c:ext>
          </c:extLst>
        </c:ser>
        <c:ser>
          <c:idx val="7"/>
          <c:order val="7"/>
          <c:tx>
            <c:strRef>
              <c:f>Technical!$A$40</c:f>
              <c:strCache>
                <c:ptCount val="1"/>
                <c:pt idx="0">
                  <c:v>-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Technical!$B$32:$C$32</c:f>
              <c:strCache>
                <c:ptCount val="2"/>
                <c:pt idx="0">
                  <c:v>Card Purchases Share (%)</c:v>
                </c:pt>
                <c:pt idx="1">
                  <c:v>Cash Purchases Share (%)</c:v>
                </c:pt>
              </c:strCache>
            </c:strRef>
          </c:cat>
          <c:val>
            <c:numRef>
              <c:f>Technical!$B$40:$C$40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210-6E4F-842A-ED307EF5A948}"/>
            </c:ext>
          </c:extLst>
        </c:ser>
        <c:ser>
          <c:idx val="8"/>
          <c:order val="8"/>
          <c:tx>
            <c:strRef>
              <c:f>Technical!$A$41</c:f>
              <c:strCache>
                <c:ptCount val="1"/>
                <c:pt idx="0">
                  <c:v>-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Technical!$B$32:$C$32</c:f>
              <c:strCache>
                <c:ptCount val="2"/>
                <c:pt idx="0">
                  <c:v>Card Purchases Share (%)</c:v>
                </c:pt>
                <c:pt idx="1">
                  <c:v>Cash Purchases Share (%)</c:v>
                </c:pt>
              </c:strCache>
            </c:strRef>
          </c:cat>
          <c:val>
            <c:numRef>
              <c:f>Technical!$B$41:$C$41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210-6E4F-842A-ED307EF5A948}"/>
            </c:ext>
          </c:extLst>
        </c:ser>
        <c:ser>
          <c:idx val="9"/>
          <c:order val="9"/>
          <c:tx>
            <c:strRef>
              <c:f>Technical!$A$42</c:f>
              <c:strCache>
                <c:ptCount val="1"/>
                <c:pt idx="0">
                  <c:v>-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Technical!$B$32:$C$32</c:f>
              <c:strCache>
                <c:ptCount val="2"/>
                <c:pt idx="0">
                  <c:v>Card Purchases Share (%)</c:v>
                </c:pt>
                <c:pt idx="1">
                  <c:v>Cash Purchases Share (%)</c:v>
                </c:pt>
              </c:strCache>
            </c:strRef>
          </c:cat>
          <c:val>
            <c:numRef>
              <c:f>Technical!$B$42:$C$42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210-6E4F-842A-ED307EF5A948}"/>
            </c:ext>
          </c:extLst>
        </c:ser>
        <c:ser>
          <c:idx val="10"/>
          <c:order val="10"/>
          <c:tx>
            <c:strRef>
              <c:f>Technical!$A$43</c:f>
              <c:strCache>
                <c:ptCount val="1"/>
                <c:pt idx="0">
                  <c:v>-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Technical!$B$32:$C$32</c:f>
              <c:strCache>
                <c:ptCount val="2"/>
                <c:pt idx="0">
                  <c:v>Card Purchases Share (%)</c:v>
                </c:pt>
                <c:pt idx="1">
                  <c:v>Cash Purchases Share (%)</c:v>
                </c:pt>
              </c:strCache>
            </c:strRef>
          </c:cat>
          <c:val>
            <c:numRef>
              <c:f>Technical!$B$43:$C$43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210-6E4F-842A-ED307EF5A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14395919"/>
        <c:axId val="1368163151"/>
      </c:barChart>
      <c:catAx>
        <c:axId val="1414395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8163151"/>
        <c:crosses val="autoZero"/>
        <c:auto val="1"/>
        <c:lblAlgn val="ctr"/>
        <c:lblOffset val="100"/>
        <c:noMultiLvlLbl val="0"/>
      </c:catAx>
      <c:valAx>
        <c:axId val="1368163151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4143959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63724</xdr:colOff>
      <xdr:row>1</xdr:row>
      <xdr:rowOff>41966</xdr:rowOff>
    </xdr:from>
    <xdr:to>
      <xdr:col>19</xdr:col>
      <xdr:colOff>652476</xdr:colOff>
      <xdr:row>15</xdr:row>
      <xdr:rowOff>107693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3089804-3B4E-0E4C-AF81-1592A8B048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335280</xdr:colOff>
      <xdr:row>21</xdr:row>
      <xdr:rowOff>81280</xdr:rowOff>
    </xdr:from>
    <xdr:to>
      <xdr:col>21</xdr:col>
      <xdr:colOff>537882</xdr:colOff>
      <xdr:row>35</xdr:row>
      <xdr:rowOff>111760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2004D1E-0A68-D7E5-9E69-8A76028B62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533548</xdr:colOff>
      <xdr:row>1</xdr:row>
      <xdr:rowOff>139815</xdr:rowOff>
    </xdr:from>
    <xdr:to>
      <xdr:col>25</xdr:col>
      <xdr:colOff>605273</xdr:colOff>
      <xdr:row>16</xdr:row>
      <xdr:rowOff>22888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060259E-3978-A240-8A9E-D1F0AB9C0B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0.33326</cdr:x>
      <cdr:y>0.39105</cdr:y>
    </cdr:from>
    <cdr:to>
      <cdr:x>0.69874</cdr:x>
      <cdr:y>0.65174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37C1E4A-0599-5A4E-C6DE-BB808C5F29D0}"/>
            </a:ext>
          </a:extLst>
        </cdr:cNvPr>
        <cdr:cNvSpPr txBox="1"/>
      </cdr:nvSpPr>
      <cdr:spPr>
        <a:xfrm xmlns:a="http://schemas.openxmlformats.org/drawingml/2006/main">
          <a:off x="1120023" y="1046178"/>
          <a:ext cx="1228293" cy="6974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n-GB" sz="1000" b="1" kern="1200"/>
            <a:t>Card</a:t>
          </a:r>
          <a:r>
            <a:rPr lang="en-GB" sz="1000" b="1" kern="1200" baseline="0"/>
            <a:t> vs Cash</a:t>
          </a:r>
        </a:p>
        <a:p xmlns:a="http://schemas.openxmlformats.org/drawingml/2006/main">
          <a:pPr algn="ctr"/>
          <a:r>
            <a:rPr lang="en-GB" sz="1000" b="1" kern="1200" baseline="0"/>
            <a:t>Purchases</a:t>
          </a:r>
        </a:p>
      </cdr:txBody>
    </cdr:sp>
  </cdr:relSizeAnchor>
</c:userShapes>
</file>

<file path=xl/theme/theme1.xml><?xml version="1.0" encoding="utf-8"?>
<a:theme xmlns:a="http://schemas.openxmlformats.org/drawingml/2006/main" name="Rothschild">
  <a:themeElements>
    <a:clrScheme name="MinFi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52C6E"/>
      </a:accent1>
      <a:accent2>
        <a:srgbClr val="FFD600"/>
      </a:accent2>
      <a:accent3>
        <a:srgbClr val="4479D4"/>
      </a:accent3>
      <a:accent4>
        <a:srgbClr val="2696F2"/>
      </a:accent4>
      <a:accent5>
        <a:srgbClr val="BFBFBF"/>
      </a:accent5>
      <a:accent6>
        <a:srgbClr val="2696F2"/>
      </a:accent6>
      <a:hlink>
        <a:srgbClr val="0563C1"/>
      </a:hlink>
      <a:folHlink>
        <a:srgbClr val="954F72"/>
      </a:folHlink>
    </a:clrScheme>
    <a:fontScheme name="Rothschild">
      <a:majorFont>
        <a:latin typeface="Georg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Rothschild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7500"/>
                <a:satMod val="137000"/>
              </a:schemeClr>
            </a:gs>
            <a:gs pos="55000">
              <a:schemeClr val="phClr">
                <a:shade val="69000"/>
                <a:satMod val="137000"/>
              </a:schemeClr>
            </a:gs>
            <a:gs pos="100000">
              <a:schemeClr val="phClr">
                <a:shade val="98000"/>
                <a:satMod val="137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48000" cap="flat" cmpd="thickThin" algn="ctr">
          <a:solidFill>
            <a:schemeClr val="phClr"/>
          </a:solidFill>
          <a:prstDash val="solid"/>
        </a:ln>
        <a:ln w="48500" cap="flat" cmpd="thickThin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5000" dist="25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39000" dist="254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39000" dist="25400" dir="5400000" rotWithShape="0">
              <a:srgbClr val="000000">
                <a:alpha val="38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800000"/>
            </a:lightRig>
          </a:scene3d>
          <a:sp3d prstMaterial="matte">
            <a:bevelT h="200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8000"/>
                <a:satMod val="300000"/>
              </a:schemeClr>
            </a:gs>
            <a:gs pos="12000">
              <a:schemeClr val="phClr">
                <a:tint val="48000"/>
                <a:satMod val="300000"/>
              </a:schemeClr>
            </a:gs>
            <a:gs pos="20000">
              <a:schemeClr val="phClr">
                <a:tint val="49000"/>
                <a:satMod val="30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10000" t="-25000" r="10000" b="125000"/>
          </a:path>
        </a:gradFill>
        <a:blipFill>
          <a:blip xmlns:r="http://schemas.openxmlformats.org/officeDocument/2006/relationships">
            <a:duotone>
              <a:schemeClr val="phClr">
                <a:shade val="75000"/>
                <a:satMod val="105000"/>
              </a:schemeClr>
              <a:schemeClr val="phClr">
                <a:tint val="95000"/>
                <a:satMod val="105000"/>
              </a:schemeClr>
            </a:duotone>
          </a:blip>
          <a:tile tx="0" ty="0" sx="38000" sy="38000" flip="none" algn="tl"/>
        </a:blipFill>
      </a:bgFillStyleLst>
    </a:fmtScheme>
  </a:themeElements>
  <a:objectDefaults/>
  <a:extraClrSchemeLst/>
  <a:custClrLst>
    <a:custClr name="Purple">
      <a:srgbClr val="6B207F"/>
    </a:custClr>
    <a:custClr name="Jade">
      <a:srgbClr val="73B300"/>
    </a:custClr>
    <a:custClr name="Steel Blue">
      <a:srgbClr val="787878"/>
    </a:custClr>
    <a:custClr name="Amber">
      <a:srgbClr val="F2CC52"/>
    </a:custClr>
    <a:custClr name="Rothschild Blue">
      <a:srgbClr val="032043"/>
    </a:custClr>
    <a:custClr name="Taupe">
      <a:srgbClr val="A2968A"/>
    </a:custClr>
  </a:custClr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A5016-2CB0-A94F-B9C6-22CB9ECD86C8}">
  <sheetPr codeName="Sheet5">
    <tabColor theme="4" tint="0.79998168889431442"/>
  </sheetPr>
  <dimension ref="A1:M36"/>
  <sheetViews>
    <sheetView showGridLines="0" tabSelected="1" zoomScale="75" zoomScaleNormal="272" workbookViewId="0">
      <selection activeCell="U20" sqref="U20"/>
    </sheetView>
  </sheetViews>
  <sheetFormatPr baseColWidth="10" defaultColWidth="8.5" defaultRowHeight="14" outlineLevelCol="1" x14ac:dyDescent="0.15"/>
  <cols>
    <col min="1" max="1" width="10.5" style="10" customWidth="1"/>
    <col min="2" max="2" width="26.83203125" style="2" customWidth="1"/>
    <col min="3" max="4" width="15.5" style="1" customWidth="1" outlineLevel="1"/>
    <col min="5" max="5" width="10.5" style="22" customWidth="1"/>
    <col min="6" max="6" width="15.33203125" style="25" customWidth="1"/>
    <col min="7" max="7" width="15.33203125" style="25" customWidth="1" outlineLevel="1"/>
    <col min="8" max="8" width="15.33203125" style="26" customWidth="1"/>
    <col min="9" max="9" width="13.83203125" customWidth="1"/>
    <col min="10" max="10" width="17.83203125" customWidth="1"/>
    <col min="11" max="11" width="17.1640625" customWidth="1"/>
    <col min="12" max="13" width="14.33203125" customWidth="1"/>
  </cols>
  <sheetData>
    <row r="1" spans="1:13" x14ac:dyDescent="0.15">
      <c r="A1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3" x14ac:dyDescent="0.15">
      <c r="A2"/>
      <c r="B2" s="76" t="s">
        <v>90</v>
      </c>
      <c r="C2" s="77">
        <f>MAX('Sales Log'!C:C)</f>
        <v>45903</v>
      </c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x14ac:dyDescent="0.15">
      <c r="A3"/>
      <c r="B3" s="77"/>
      <c r="C3" s="77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3" x14ac:dyDescent="0.15">
      <c r="A4"/>
      <c r="B4" s="67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</row>
    <row r="5" spans="1:13" ht="26" x14ac:dyDescent="0.15">
      <c r="A5"/>
      <c r="B5" s="69" t="s">
        <v>30</v>
      </c>
      <c r="C5" s="69" t="s">
        <v>3</v>
      </c>
      <c r="D5" s="69" t="s">
        <v>79</v>
      </c>
      <c r="E5" s="69" t="s">
        <v>17</v>
      </c>
      <c r="F5" s="69" t="s">
        <v>16</v>
      </c>
      <c r="G5" s="69" t="s">
        <v>82</v>
      </c>
      <c r="H5" s="69" t="s">
        <v>80</v>
      </c>
      <c r="I5" s="69" t="s">
        <v>81</v>
      </c>
      <c r="J5" s="69" t="s">
        <v>83</v>
      </c>
      <c r="K5" s="69" t="s">
        <v>84</v>
      </c>
      <c r="L5" s="69" t="s">
        <v>85</v>
      </c>
      <c r="M5" s="69" t="s">
        <v>86</v>
      </c>
    </row>
    <row r="6" spans="1:13" x14ac:dyDescent="0.15">
      <c r="B6" s="88" t="s">
        <v>9</v>
      </c>
      <c r="C6" s="85" t="str">
        <f>_xlfn.XLOOKUP(Summary!B6,'Product List'!A:A,'Product List'!C:C, "-")</f>
        <v>Donut</v>
      </c>
      <c r="D6" s="91">
        <f>_xlfn.XLOOKUP(B6,'Product List'!A:A,'Product List'!F:F,"-")</f>
        <v>2.62</v>
      </c>
      <c r="E6" s="85">
        <f>IF(SUMIFS('Sales Log'!F:F,'Sales Log'!D:D,Summary!B6)=0,"-",(SUMIFS('Sales Log'!F:F,'Sales Log'!D:D,Summary!B6)))</f>
        <v>24</v>
      </c>
      <c r="F6" s="91">
        <f>IFERROR(D6*E6,"-")</f>
        <v>62.88</v>
      </c>
      <c r="G6" s="95">
        <f>IFERROR(D6/_xlfn.XLOOKUP(B6,'Sales Log'!D:D,'Sales Log'!I:I), "-")</f>
        <v>0.52505010020040077</v>
      </c>
      <c r="H6" s="102">
        <f>IFERROR(F6/F$17,"-")</f>
        <v>0.28684822772683727</v>
      </c>
      <c r="I6" s="102">
        <f>IFERROR(E6/E$17,"-")</f>
        <v>0.34782608695652173</v>
      </c>
      <c r="J6" s="91">
        <f>IF(SUMIFS('Sales Log'!M:M,'Sales Log'!D:D,Summary!B6,'Sales Log'!G:G,"Card")=0,"-", SUMIFS('Sales Log'!M:M,'Sales Log'!D:D,Summary!B6,'Sales Log'!G:G,"Card"))</f>
        <v>47.160000000000004</v>
      </c>
      <c r="K6" s="91">
        <f>IF(SUMIFS('Sales Log'!M:M,'Sales Log'!D:D,Summary!B6,'Sales Log'!G:G,"Card")=0,"-", SUMIFS('Sales Log'!M:M,'Sales Log'!D:D,Summary!B6,'Sales Log'!G:G,"Cash"))</f>
        <v>15.72</v>
      </c>
      <c r="L6" s="102">
        <f>IFERROR(J6/J$17,"-")</f>
        <v>0.26378789573777828</v>
      </c>
      <c r="M6" s="102">
        <f>IFERROR(K6/K$17,"-")</f>
        <v>0.38882018303240168</v>
      </c>
    </row>
    <row r="7" spans="1:13" x14ac:dyDescent="0.15">
      <c r="B7" s="89" t="s">
        <v>10</v>
      </c>
      <c r="C7" s="86" t="str">
        <f>_xlfn.XLOOKUP(Summary!B7,'Product List'!A:A,'Product List'!C:C, "-")</f>
        <v>Donut</v>
      </c>
      <c r="D7" s="92">
        <f>_xlfn.XLOOKUP(B7,'Product List'!A:A,'Product List'!F:F,"-")</f>
        <v>3.5300000000000002</v>
      </c>
      <c r="E7" s="86">
        <f>IF(SUMIFS('Sales Log'!F:F,'Sales Log'!D:D,Summary!B7)=0,"-",(SUMIFS('Sales Log'!F:F,'Sales Log'!D:D,Summary!B7)))</f>
        <v>21</v>
      </c>
      <c r="F7" s="92">
        <f t="shared" ref="F7:F15" si="0">IFERROR(D7*E7,"-")</f>
        <v>74.13000000000001</v>
      </c>
      <c r="G7" s="96">
        <f>IFERROR(D7/_xlfn.XLOOKUP(B7,'Sales Log'!D:D,'Sales Log'!I:I), "-")</f>
        <v>0.70741482965931868</v>
      </c>
      <c r="H7" s="103">
        <f>IFERROR(F7/F$17,"-")</f>
        <v>0.33816887915697275</v>
      </c>
      <c r="I7" s="103">
        <f t="shared" ref="I7:I16" si="1">IFERROR(E7/E$17,"-")</f>
        <v>0.30434782608695654</v>
      </c>
      <c r="J7" s="92">
        <f>IF(SUMIFS('Sales Log'!M:M,'Sales Log'!D:D,Summary!B7,'Sales Log'!G:G,"Card")=0,"-", SUMIFS('Sales Log'!M:M,'Sales Log'!D:D,Summary!B7,'Sales Log'!G:G,"Card"))</f>
        <v>49.42</v>
      </c>
      <c r="K7" s="92">
        <f>IF(SUMIFS('Sales Log'!M:M,'Sales Log'!D:D,Summary!B7,'Sales Log'!G:G,"Card")=0,"-", SUMIFS('Sales Log'!M:M,'Sales Log'!D:D,Summary!B7,'Sales Log'!G:G,"Cash"))</f>
        <v>24.71</v>
      </c>
      <c r="L7" s="103">
        <f t="shared" ref="L7:L16" si="2">IFERROR(J7/J$17,"-")</f>
        <v>0.27642913077525444</v>
      </c>
      <c r="M7" s="103">
        <f t="shared" ref="M7:M16" si="3">IFERROR(K7/K$17,"-")</f>
        <v>0.61117981696759838</v>
      </c>
    </row>
    <row r="8" spans="1:13" x14ac:dyDescent="0.15">
      <c r="B8" s="88" t="s">
        <v>11</v>
      </c>
      <c r="C8" s="85" t="str">
        <f>_xlfn.XLOOKUP(Summary!B8,'Product List'!A:A,'Product List'!C:C, "-")</f>
        <v>Donut</v>
      </c>
      <c r="D8" s="91">
        <f>_xlfn.XLOOKUP(B8,'Product List'!A:A,'Product List'!F:F,"-")</f>
        <v>3.9000000000000004</v>
      </c>
      <c r="E8" s="85">
        <f>IF(SUMIFS('Sales Log'!F:F,'Sales Log'!D:D,Summary!B8)=0,"-",(SUMIFS('Sales Log'!F:F,'Sales Log'!D:D,Summary!B8)))</f>
        <v>12</v>
      </c>
      <c r="F8" s="91">
        <f t="shared" si="0"/>
        <v>46.800000000000004</v>
      </c>
      <c r="G8" s="95">
        <f>IFERROR(D8/_xlfn.XLOOKUP(B8,'Sales Log'!D:D,'Sales Log'!I:I), "-")</f>
        <v>0.65108514190317202</v>
      </c>
      <c r="H8" s="102">
        <f t="shared" ref="H8:H16" si="4">IFERROR(F8/F$17,"-")</f>
        <v>0.2134939099493636</v>
      </c>
      <c r="I8" s="102">
        <f t="shared" si="1"/>
        <v>0.17391304347826086</v>
      </c>
      <c r="J8" s="91">
        <f>IF(SUMIFS('Sales Log'!M:M,'Sales Log'!D:D,Summary!B8,'Sales Log'!G:G,"Card")=0,"-", SUMIFS('Sales Log'!M:M,'Sales Log'!D:D,Summary!B8,'Sales Log'!G:G,"Card"))</f>
        <v>46.800000000000004</v>
      </c>
      <c r="K8" s="91">
        <f>IF(SUMIFS('Sales Log'!M:M,'Sales Log'!D:D,Summary!B8,'Sales Log'!G:G,"Card")=0,"-", SUMIFS('Sales Log'!M:M,'Sales Log'!D:D,Summary!B8,'Sales Log'!G:G,"Cash"))</f>
        <v>0</v>
      </c>
      <c r="L8" s="102">
        <f t="shared" si="2"/>
        <v>0.26177424767871127</v>
      </c>
      <c r="M8" s="102">
        <f t="shared" si="3"/>
        <v>0</v>
      </c>
    </row>
    <row r="9" spans="1:13" x14ac:dyDescent="0.15">
      <c r="B9" s="89" t="s">
        <v>22</v>
      </c>
      <c r="C9" s="86" t="str">
        <f>_xlfn.XLOOKUP(Summary!B9,'Product List'!A:A,'Product List'!C:C, "-")</f>
        <v>Drink</v>
      </c>
      <c r="D9" s="92">
        <f>_xlfn.XLOOKUP(B9,'Product List'!A:A,'Product List'!F:F,"-")</f>
        <v>2.95</v>
      </c>
      <c r="E9" s="86">
        <f>IF(SUMIFS('Sales Log'!F:F,'Sales Log'!D:D,Summary!B9)=0,"-",(SUMIFS('Sales Log'!F:F,'Sales Log'!D:D,Summary!B9)))</f>
        <v>12</v>
      </c>
      <c r="F9" s="92">
        <f t="shared" si="0"/>
        <v>35.400000000000006</v>
      </c>
      <c r="G9" s="96">
        <f>IFERROR(D9/_xlfn.XLOOKUP(B9,'Sales Log'!D:D,'Sales Log'!I:I), "-")</f>
        <v>0.73934837092731831</v>
      </c>
      <c r="H9" s="103">
        <f t="shared" si="4"/>
        <v>0.16148898316682633</v>
      </c>
      <c r="I9" s="103">
        <f t="shared" si="1"/>
        <v>0.17391304347826086</v>
      </c>
      <c r="J9" s="92">
        <f>IF(SUMIFS('Sales Log'!M:M,'Sales Log'!D:D,Summary!B9,'Sales Log'!G:G,"Card")=0,"-", SUMIFS('Sales Log'!M:M,'Sales Log'!D:D,Summary!B9,'Sales Log'!G:G,"Card"))</f>
        <v>35.400000000000006</v>
      </c>
      <c r="K9" s="92">
        <f>IF(SUMIFS('Sales Log'!M:M,'Sales Log'!D:D,Summary!B9,'Sales Log'!G:G,"Card")=0,"-", SUMIFS('Sales Log'!M:M,'Sales Log'!D:D,Summary!B9,'Sales Log'!G:G,"Cash"))</f>
        <v>0</v>
      </c>
      <c r="L9" s="103">
        <f t="shared" si="2"/>
        <v>0.19800872580825596</v>
      </c>
      <c r="M9" s="103">
        <f t="shared" si="3"/>
        <v>0</v>
      </c>
    </row>
    <row r="10" spans="1:13" x14ac:dyDescent="0.15">
      <c r="B10" s="90" t="s">
        <v>78</v>
      </c>
      <c r="C10" s="87" t="str">
        <f>_xlfn.XLOOKUP(Summary!B10,'Product List'!A:A,'Product List'!C:C,"-")</f>
        <v>-</v>
      </c>
      <c r="D10" s="91" t="str">
        <f>_xlfn.XLOOKUP(B10,'Product List'!A:A,'Product List'!F:F,"-")</f>
        <v>-</v>
      </c>
      <c r="E10" s="85" t="str">
        <f>IF(SUMIFS('Sales Log'!F:F,'Sales Log'!D:D,Summary!B10)=0,"-",(SUMIFS('Sales Log'!F:F,'Sales Log'!D:D,Summary!B10)))</f>
        <v>-</v>
      </c>
      <c r="F10" s="93" t="str">
        <f t="shared" si="0"/>
        <v>-</v>
      </c>
      <c r="G10" s="95" t="str">
        <f>IFERROR(D10/_xlfn.XLOOKUP(B10,'Sales Log'!D:D,'Sales Log'!I:I), "-")</f>
        <v>-</v>
      </c>
      <c r="H10" s="102" t="str">
        <f t="shared" si="4"/>
        <v>-</v>
      </c>
      <c r="I10" s="102" t="str">
        <f t="shared" si="1"/>
        <v>-</v>
      </c>
      <c r="J10" s="91" t="str">
        <f>IF(SUMIFS('Sales Log'!M:M,'Sales Log'!D:D,Summary!B10,'Sales Log'!G:G,"Card")=0,"-", SUMIFS('Sales Log'!M:M,'Sales Log'!D:D,Summary!B10,'Sales Log'!G:G,"Card"))</f>
        <v>-</v>
      </c>
      <c r="K10" s="91" t="str">
        <f>IF(SUMIFS('Sales Log'!M:M,'Sales Log'!D:D,Summary!B10,'Sales Log'!G:G,"Card")=0,"-", SUMIFS('Sales Log'!M:M,'Sales Log'!D:D,Summary!B10,'Sales Log'!G:G,"Cash"))</f>
        <v>-</v>
      </c>
      <c r="L10" s="102" t="str">
        <f t="shared" si="2"/>
        <v>-</v>
      </c>
      <c r="M10" s="102" t="str">
        <f t="shared" si="3"/>
        <v>-</v>
      </c>
    </row>
    <row r="11" spans="1:13" x14ac:dyDescent="0.15">
      <c r="B11" s="89" t="s">
        <v>78</v>
      </c>
      <c r="C11" s="86" t="str">
        <f>_xlfn.XLOOKUP(Summary!B11,'Product List'!A:A,'Product List'!C:C,"-")</f>
        <v>-</v>
      </c>
      <c r="D11" s="92" t="str">
        <f>_xlfn.XLOOKUP(B11,'Product List'!A:A,'Product List'!F:F,"-")</f>
        <v>-</v>
      </c>
      <c r="E11" s="86" t="str">
        <f>IF(SUMIFS('Sales Log'!F:F,'Sales Log'!D:D,Summary!B11)=0,"-",(SUMIFS('Sales Log'!F:F,'Sales Log'!D:D,Summary!B11)))</f>
        <v>-</v>
      </c>
      <c r="F11" s="94" t="str">
        <f t="shared" si="0"/>
        <v>-</v>
      </c>
      <c r="G11" s="96" t="str">
        <f>IFERROR(D11/_xlfn.XLOOKUP(B11,'Sales Log'!D:D,'Sales Log'!I:I), "-")</f>
        <v>-</v>
      </c>
      <c r="H11" s="103" t="str">
        <f t="shared" si="4"/>
        <v>-</v>
      </c>
      <c r="I11" s="103" t="str">
        <f t="shared" si="1"/>
        <v>-</v>
      </c>
      <c r="J11" s="92" t="str">
        <f>IF(SUMIFS('Sales Log'!M:M,'Sales Log'!D:D,Summary!B11,'Sales Log'!G:G,"Card")=0,"-", SUMIFS('Sales Log'!M:M,'Sales Log'!D:D,Summary!B11,'Sales Log'!G:G,"Card"))</f>
        <v>-</v>
      </c>
      <c r="K11" s="92" t="str">
        <f>IF(SUMIFS('Sales Log'!M:M,'Sales Log'!D:D,Summary!B11,'Sales Log'!G:G,"Card")=0,"-", SUMIFS('Sales Log'!M:M,'Sales Log'!D:D,Summary!B11,'Sales Log'!G:G,"Cash"))</f>
        <v>-</v>
      </c>
      <c r="L11" s="103" t="str">
        <f t="shared" si="2"/>
        <v>-</v>
      </c>
      <c r="M11" s="103" t="str">
        <f t="shared" si="3"/>
        <v>-</v>
      </c>
    </row>
    <row r="12" spans="1:13" x14ac:dyDescent="0.15">
      <c r="B12" s="90" t="s">
        <v>78</v>
      </c>
      <c r="C12" s="87" t="str">
        <f>_xlfn.XLOOKUP(Summary!B12,'Product List'!A:A,'Product List'!C:C,"-")</f>
        <v>-</v>
      </c>
      <c r="D12" s="91" t="str">
        <f>_xlfn.XLOOKUP(B12,'Product List'!A:A,'Product List'!F:F,"-")</f>
        <v>-</v>
      </c>
      <c r="E12" s="85" t="str">
        <f>IF(SUMIFS('Sales Log'!F:F,'Sales Log'!D:D,Summary!B12)=0,"-",(SUMIFS('Sales Log'!F:F,'Sales Log'!D:D,Summary!B12)))</f>
        <v>-</v>
      </c>
      <c r="F12" s="93" t="str">
        <f t="shared" si="0"/>
        <v>-</v>
      </c>
      <c r="G12" s="95" t="str">
        <f>IFERROR(D12/_xlfn.XLOOKUP(B12,'Sales Log'!D:D,'Sales Log'!I:I), "-")</f>
        <v>-</v>
      </c>
      <c r="H12" s="102" t="str">
        <f t="shared" si="4"/>
        <v>-</v>
      </c>
      <c r="I12" s="102" t="str">
        <f t="shared" si="1"/>
        <v>-</v>
      </c>
      <c r="J12" s="91" t="str">
        <f>IF(SUMIFS('Sales Log'!M:M,'Sales Log'!D:D,Summary!B12,'Sales Log'!G:G,"Card")=0,"-", SUMIFS('Sales Log'!M:M,'Sales Log'!D:D,Summary!B12,'Sales Log'!G:G,"Card"))</f>
        <v>-</v>
      </c>
      <c r="K12" s="91" t="str">
        <f>IF(SUMIFS('Sales Log'!M:M,'Sales Log'!D:D,Summary!B12,'Sales Log'!G:G,"Card")=0,"-", SUMIFS('Sales Log'!M:M,'Sales Log'!D:D,Summary!B12,'Sales Log'!G:G,"Cash"))</f>
        <v>-</v>
      </c>
      <c r="L12" s="102" t="str">
        <f t="shared" si="2"/>
        <v>-</v>
      </c>
      <c r="M12" s="102" t="str">
        <f t="shared" si="3"/>
        <v>-</v>
      </c>
    </row>
    <row r="13" spans="1:13" x14ac:dyDescent="0.15">
      <c r="B13" s="89" t="s">
        <v>78</v>
      </c>
      <c r="C13" s="86" t="str">
        <f>_xlfn.XLOOKUP(Summary!B13,'Product List'!A:A,'Product List'!C:C,"-")</f>
        <v>-</v>
      </c>
      <c r="D13" s="92" t="str">
        <f>_xlfn.XLOOKUP(B13,'Product List'!A:A,'Product List'!F:F,"-")</f>
        <v>-</v>
      </c>
      <c r="E13" s="86" t="str">
        <f>IF(SUMIFS('Sales Log'!F:F,'Sales Log'!D:D,Summary!B13)=0,"-",(SUMIFS('Sales Log'!F:F,'Sales Log'!D:D,Summary!B13)))</f>
        <v>-</v>
      </c>
      <c r="F13" s="94" t="str">
        <f t="shared" si="0"/>
        <v>-</v>
      </c>
      <c r="G13" s="96" t="str">
        <f>IFERROR(D13/_xlfn.XLOOKUP(B13,'Sales Log'!D:D,'Sales Log'!I:I), "-")</f>
        <v>-</v>
      </c>
      <c r="H13" s="103" t="str">
        <f t="shared" si="4"/>
        <v>-</v>
      </c>
      <c r="I13" s="103" t="str">
        <f t="shared" si="1"/>
        <v>-</v>
      </c>
      <c r="J13" s="92" t="str">
        <f>IF(SUMIFS('Sales Log'!M:M,'Sales Log'!D:D,Summary!B13,'Sales Log'!G:G,"Card")=0,"-", SUMIFS('Sales Log'!M:M,'Sales Log'!D:D,Summary!B13,'Sales Log'!G:G,"Card"))</f>
        <v>-</v>
      </c>
      <c r="K13" s="92" t="str">
        <f>IF(SUMIFS('Sales Log'!M:M,'Sales Log'!D:D,Summary!B13,'Sales Log'!G:G,"Card")=0,"-", SUMIFS('Sales Log'!M:M,'Sales Log'!D:D,Summary!B13,'Sales Log'!G:G,"Cash"))</f>
        <v>-</v>
      </c>
      <c r="L13" s="103" t="str">
        <f t="shared" si="2"/>
        <v>-</v>
      </c>
      <c r="M13" s="103" t="str">
        <f t="shared" si="3"/>
        <v>-</v>
      </c>
    </row>
    <row r="14" spans="1:13" x14ac:dyDescent="0.15">
      <c r="B14" s="90" t="s">
        <v>78</v>
      </c>
      <c r="C14" s="87" t="str">
        <f>_xlfn.XLOOKUP(Summary!B14,'Product List'!A:A,'Product List'!C:C,"-")</f>
        <v>-</v>
      </c>
      <c r="D14" s="91" t="str">
        <f>_xlfn.XLOOKUP(B14,'Product List'!A:A,'Product List'!F:F,"-")</f>
        <v>-</v>
      </c>
      <c r="E14" s="85" t="str">
        <f>IF(SUMIFS('Sales Log'!F:F,'Sales Log'!D:D,Summary!B14)=0,"-",(SUMIFS('Sales Log'!F:F,'Sales Log'!D:D,Summary!B14)))</f>
        <v>-</v>
      </c>
      <c r="F14" s="93" t="str">
        <f t="shared" si="0"/>
        <v>-</v>
      </c>
      <c r="G14" s="95" t="str">
        <f>IFERROR(D14/_xlfn.XLOOKUP(B14,'Sales Log'!D:D,'Sales Log'!I:I), "-")</f>
        <v>-</v>
      </c>
      <c r="H14" s="102" t="str">
        <f t="shared" si="4"/>
        <v>-</v>
      </c>
      <c r="I14" s="102" t="str">
        <f t="shared" si="1"/>
        <v>-</v>
      </c>
      <c r="J14" s="91" t="str">
        <f>IF(SUMIFS('Sales Log'!M:M,'Sales Log'!D:D,Summary!B14,'Sales Log'!G:G,"Card")=0,"-", SUMIFS('Sales Log'!M:M,'Sales Log'!D:D,Summary!B14,'Sales Log'!G:G,"Card"))</f>
        <v>-</v>
      </c>
      <c r="K14" s="91" t="str">
        <f>IF(SUMIFS('Sales Log'!M:M,'Sales Log'!D:D,Summary!B14,'Sales Log'!G:G,"Card")=0,"-", SUMIFS('Sales Log'!M:M,'Sales Log'!D:D,Summary!B14,'Sales Log'!G:G,"Cash"))</f>
        <v>-</v>
      </c>
      <c r="L14" s="102" t="str">
        <f t="shared" si="2"/>
        <v>-</v>
      </c>
      <c r="M14" s="102" t="str">
        <f t="shared" si="3"/>
        <v>-</v>
      </c>
    </row>
    <row r="15" spans="1:13" x14ac:dyDescent="0.15">
      <c r="B15" s="89" t="s">
        <v>78</v>
      </c>
      <c r="C15" s="86" t="str">
        <f>_xlfn.XLOOKUP(Summary!B15,'Product List'!A:A,'Product List'!C:C,"-")</f>
        <v>-</v>
      </c>
      <c r="D15" s="92" t="str">
        <f>_xlfn.XLOOKUP(B15,'Product List'!A:A,'Product List'!F:F,"-")</f>
        <v>-</v>
      </c>
      <c r="E15" s="86" t="str">
        <f>IF(SUMIFS('Sales Log'!F:F,'Sales Log'!D:D,Summary!B15)=0,"-",(SUMIFS('Sales Log'!F:F,'Sales Log'!D:D,Summary!B15)))</f>
        <v>-</v>
      </c>
      <c r="F15" s="94" t="str">
        <f t="shared" si="0"/>
        <v>-</v>
      </c>
      <c r="G15" s="96" t="str">
        <f>IFERROR(D15/_xlfn.XLOOKUP(B15,'Sales Log'!D:D,'Sales Log'!I:I), "-")</f>
        <v>-</v>
      </c>
      <c r="H15" s="103" t="str">
        <f t="shared" si="4"/>
        <v>-</v>
      </c>
      <c r="I15" s="103" t="str">
        <f t="shared" si="1"/>
        <v>-</v>
      </c>
      <c r="J15" s="92" t="str">
        <f>IF(SUMIFS('Sales Log'!M:M,'Sales Log'!D:D,Summary!B15,'Sales Log'!G:G,"Card")=0,"-", SUMIFS('Sales Log'!M:M,'Sales Log'!D:D,Summary!B15,'Sales Log'!G:G,"Card"))</f>
        <v>-</v>
      </c>
      <c r="K15" s="92" t="str">
        <f>IF(SUMIFS('Sales Log'!M:M,'Sales Log'!D:D,Summary!B15,'Sales Log'!G:G,"Card")=0,"-", SUMIFS('Sales Log'!M:M,'Sales Log'!D:D,Summary!B15,'Sales Log'!G:G,"Cash"))</f>
        <v>-</v>
      </c>
      <c r="L15" s="103" t="str">
        <f t="shared" si="2"/>
        <v>-</v>
      </c>
      <c r="M15" s="103" t="str">
        <f t="shared" si="3"/>
        <v>-</v>
      </c>
    </row>
    <row r="16" spans="1:13" x14ac:dyDescent="0.15">
      <c r="B16" s="90" t="s">
        <v>78</v>
      </c>
      <c r="C16" s="87" t="str">
        <f>_xlfn.XLOOKUP(Summary!B16,'Product List'!A:A,'Product List'!C:C,"-")</f>
        <v>-</v>
      </c>
      <c r="D16" s="91" t="str">
        <f>_xlfn.XLOOKUP(B16,'Product List'!A:A,'Product List'!F:F,"-")</f>
        <v>-</v>
      </c>
      <c r="E16" s="85" t="str">
        <f>IF(SUMIFS('Sales Log'!F:F,'Sales Log'!D:D,Summary!B16)=0,"-",(SUMIFS('Sales Log'!F:F,'Sales Log'!D:D,Summary!B16)))</f>
        <v>-</v>
      </c>
      <c r="F16" s="93" t="str">
        <f t="shared" ref="F16" si="5">IFERROR(D16*E16,"-")</f>
        <v>-</v>
      </c>
      <c r="G16" s="95" t="str">
        <f>IFERROR(D16/_xlfn.XLOOKUP(B16,'Sales Log'!D:D,'Sales Log'!I:I), "-")</f>
        <v>-</v>
      </c>
      <c r="H16" s="102" t="str">
        <f t="shared" si="4"/>
        <v>-</v>
      </c>
      <c r="I16" s="102" t="str">
        <f t="shared" si="1"/>
        <v>-</v>
      </c>
      <c r="J16" s="91" t="str">
        <f>IF(SUMIFS('Sales Log'!M:M,'Sales Log'!D:D,Summary!B16,'Sales Log'!G:G,"Card")=0,"-", SUMIFS('Sales Log'!M:M,'Sales Log'!D:D,Summary!B16,'Sales Log'!G:G,"Card"))</f>
        <v>-</v>
      </c>
      <c r="K16" s="91" t="str">
        <f>IF(SUMIFS('Sales Log'!M:M,'Sales Log'!D:D,Summary!B16,'Sales Log'!G:G,"Card")=0,"-", SUMIFS('Sales Log'!M:M,'Sales Log'!D:D,Summary!B16,'Sales Log'!G:G,"Cash"))</f>
        <v>-</v>
      </c>
      <c r="L16" s="102" t="str">
        <f t="shared" si="2"/>
        <v>-</v>
      </c>
      <c r="M16" s="102" t="str">
        <f t="shared" si="3"/>
        <v>-</v>
      </c>
    </row>
    <row r="17" spans="2:13" x14ac:dyDescent="0.15">
      <c r="B17" s="97" t="s">
        <v>87</v>
      </c>
      <c r="C17" s="98"/>
      <c r="D17" s="98"/>
      <c r="E17" s="99">
        <f>SUM(E6:E16)</f>
        <v>69</v>
      </c>
      <c r="F17" s="100">
        <f>SUM(F6:F16)</f>
        <v>219.21000000000004</v>
      </c>
      <c r="G17" s="98"/>
      <c r="H17" s="98"/>
      <c r="I17" s="101"/>
      <c r="J17" s="105">
        <f>SUM(J6:J16)</f>
        <v>178.78000000000003</v>
      </c>
      <c r="K17" s="104">
        <f>SUM(K6:K16)</f>
        <v>40.43</v>
      </c>
      <c r="L17" s="101"/>
      <c r="M17" s="101"/>
    </row>
    <row r="18" spans="2:13" x14ac:dyDescent="0.15">
      <c r="B18" s="75"/>
      <c r="C18" s="70"/>
      <c r="D18" s="70"/>
      <c r="E18" s="71"/>
      <c r="F18" s="72"/>
      <c r="G18" s="72"/>
      <c r="H18" s="73"/>
      <c r="I18" s="74"/>
      <c r="J18" s="74"/>
      <c r="K18" s="74"/>
      <c r="L18" s="74"/>
      <c r="M18" s="74"/>
    </row>
    <row r="20" spans="2:13" x14ac:dyDescent="0.15"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</row>
    <row r="21" spans="2:13" x14ac:dyDescent="0.15">
      <c r="B21" s="106" t="s">
        <v>89</v>
      </c>
      <c r="C21" s="109">
        <f>MAX('Sales Log'!C:C)</f>
        <v>45903</v>
      </c>
      <c r="D21" s="107"/>
      <c r="E21" s="107"/>
      <c r="F21" s="107"/>
      <c r="G21" s="107"/>
      <c r="H21" s="107"/>
      <c r="I21" s="107"/>
      <c r="J21" s="107"/>
      <c r="K21" s="107"/>
      <c r="L21" s="107"/>
      <c r="M21" s="107"/>
    </row>
    <row r="22" spans="2:13" x14ac:dyDescent="0.15">
      <c r="B22" s="108" t="str">
        <f>TEXT(C21,"mmmm yyyy")</f>
        <v>September 2025</v>
      </c>
      <c r="C22" s="108"/>
      <c r="D22" s="107"/>
      <c r="E22" s="107"/>
      <c r="F22" s="107"/>
      <c r="G22" s="107"/>
      <c r="H22" s="107"/>
      <c r="I22" s="107"/>
      <c r="J22" s="107"/>
      <c r="K22" s="107"/>
      <c r="L22" s="107"/>
      <c r="M22" s="107"/>
    </row>
    <row r="23" spans="2:13" x14ac:dyDescent="0.15">
      <c r="B23" s="67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</row>
    <row r="24" spans="2:13" ht="26" x14ac:dyDescent="0.15">
      <c r="B24" s="110" t="s">
        <v>30</v>
      </c>
      <c r="C24" s="110" t="s">
        <v>3</v>
      </c>
      <c r="D24" s="110" t="s">
        <v>79</v>
      </c>
      <c r="E24" s="110" t="s">
        <v>17</v>
      </c>
      <c r="F24" s="110" t="s">
        <v>16</v>
      </c>
      <c r="G24" s="110" t="s">
        <v>82</v>
      </c>
      <c r="H24" s="110" t="s">
        <v>80</v>
      </c>
      <c r="I24" s="110" t="s">
        <v>81</v>
      </c>
      <c r="J24" s="110" t="s">
        <v>83</v>
      </c>
      <c r="K24" s="110" t="s">
        <v>84</v>
      </c>
      <c r="L24" s="110" t="s">
        <v>85</v>
      </c>
      <c r="M24" s="110" t="s">
        <v>86</v>
      </c>
    </row>
    <row r="25" spans="2:13" x14ac:dyDescent="0.15">
      <c r="B25" s="88" t="s">
        <v>9</v>
      </c>
      <c r="C25" s="85" t="str">
        <f>_xlfn.XLOOKUP(Summary!B25,'Product List'!A:A,'Product List'!C:C, "-")</f>
        <v>Donut</v>
      </c>
      <c r="D25" s="91">
        <f>_xlfn.XLOOKUP(B25,'Product List'!A:A,'Product List'!F:F,"-")</f>
        <v>2.62</v>
      </c>
      <c r="E25" s="85">
        <f>IF(SUMIFS('Sales Log'!F:F,'Sales Log'!D:D,Summary!B25,'Sales Log'!B:B,Summary!B$22)=0,"-",(SUMIFS('Sales Log'!F:F,'Sales Log'!D:D,Summary!B25,'Sales Log'!B:B,Summary!B$22)))</f>
        <v>15</v>
      </c>
      <c r="F25" s="91">
        <f>IFERROR(D25*E25,"-")</f>
        <v>39.300000000000004</v>
      </c>
      <c r="G25" s="95">
        <f>IFERROR(D25/_xlfn.XLOOKUP(B25,'Sales Log'!D:D,'Sales Log'!I:I), "-")</f>
        <v>0.52505010020040077</v>
      </c>
      <c r="H25" s="102">
        <f>IFERROR(F25/F$36,"-")</f>
        <v>0.58369226199316793</v>
      </c>
      <c r="I25" s="102">
        <f>IFERROR(E25/E$36,"-")</f>
        <v>0.65217391304347827</v>
      </c>
      <c r="J25" s="91">
        <f>IF(SUMIFS('Sales Log'!M:M,'Sales Log'!D:D,Summary!B25,'Sales Log'!G:G,"Card", 'Sales Log'!B:B,Summary!B$22)=0,"-", SUMIFS('Sales Log'!M:M,'Sales Log'!D:D,Summary!B25,'Sales Log'!G:G,"Card", 'Sales Log'!B:B,Summary!B$22))</f>
        <v>31.44</v>
      </c>
      <c r="K25" s="91">
        <f>IF(SUMIFS('Sales Log'!M:M,'Sales Log'!D:D,Summary!B25,'Sales Log'!G:G,"Cash", 'Sales Log'!B:B,Summary!B$22)=0,"-", SUMIFS('Sales Log'!M:M,'Sales Log'!D:D,Summary!B25,'Sales Log'!G:G,"Cash", 'Sales Log'!B:B,Summary!B$22))</f>
        <v>7.86</v>
      </c>
      <c r="L25" s="102">
        <f>IFERROR(J25/J$36,"-")</f>
        <v>0.5286699176055154</v>
      </c>
      <c r="M25" s="102">
        <f>IFERROR(K25/K$36,"-")</f>
        <v>1</v>
      </c>
    </row>
    <row r="26" spans="2:13" x14ac:dyDescent="0.15">
      <c r="B26" s="89" t="s">
        <v>10</v>
      </c>
      <c r="C26" s="86" t="str">
        <f>_xlfn.XLOOKUP(Summary!B26,'Product List'!A:A,'Product List'!C:C, "-")</f>
        <v>Donut</v>
      </c>
      <c r="D26" s="92">
        <f>_xlfn.XLOOKUP(B26,'Product List'!A:A,'Product List'!F:F,"-")</f>
        <v>3.5300000000000002</v>
      </c>
      <c r="E26" s="86">
        <f>IF(SUMIFS('Sales Log'!F:F,'Sales Log'!D:D,Summary!B26,'Sales Log'!B:B,Summary!B$22)=0,"-",(SUMIFS('Sales Log'!F:F,'Sales Log'!D:D,Summary!B26,'Sales Log'!B:B,Summary!B$22)))</f>
        <v>6</v>
      </c>
      <c r="F26" s="92">
        <f t="shared" ref="F26:F35" si="6">IFERROR(D26*E26,"-")</f>
        <v>21.18</v>
      </c>
      <c r="G26" s="96">
        <f>IFERROR(D26/_xlfn.XLOOKUP(B26,'Sales Log'!D:D,'Sales Log'!I:I), "-")</f>
        <v>0.70741482965931868</v>
      </c>
      <c r="H26" s="103">
        <f t="shared" ref="H26:H35" si="7">IFERROR(F26/F$36,"-")</f>
        <v>0.3145700282192187</v>
      </c>
      <c r="I26" s="103">
        <f t="shared" ref="I26:I35" si="8">IFERROR(E26/E$36,"-")</f>
        <v>0.2608695652173913</v>
      </c>
      <c r="J26" s="92">
        <f>IF(SUMIFS('Sales Log'!M:M,'Sales Log'!D:D,Summary!B26,'Sales Log'!G:G,"Card", 'Sales Log'!B:B,Summary!B$22)=0,"-", SUMIFS('Sales Log'!M:M,'Sales Log'!D:D,Summary!B26,'Sales Log'!G:G,"Card", 'Sales Log'!B:B,Summary!B$22))</f>
        <v>21.18</v>
      </c>
      <c r="K26" s="92" t="str">
        <f>IF(SUMIFS('Sales Log'!M:M,'Sales Log'!D:D,Summary!C26,'Sales Log'!G:G,"Card", 'Sales Log'!B:B,Summary!B$22)=0,"-", SUMIFS('Sales Log'!M:M,'Sales Log'!D:D,Summary!C26,'Sales Log'!G:G,"Card", 'Sales Log'!B:B,Summary!B$22))</f>
        <v>-</v>
      </c>
      <c r="L26" s="103">
        <f t="shared" ref="L26:L35" si="9">IFERROR(J26/J$36,"-")</f>
        <v>0.35614595594417348</v>
      </c>
      <c r="M26" s="103" t="str">
        <f t="shared" ref="M26:M35" si="10">IFERROR(K26/K$36,"-")</f>
        <v>-</v>
      </c>
    </row>
    <row r="27" spans="2:13" x14ac:dyDescent="0.15">
      <c r="B27" s="88" t="s">
        <v>11</v>
      </c>
      <c r="C27" s="85" t="str">
        <f>_xlfn.XLOOKUP(Summary!B27,'Product List'!A:A,'Product List'!C:C, "-")</f>
        <v>Donut</v>
      </c>
      <c r="D27" s="91">
        <f>_xlfn.XLOOKUP(B27,'Product List'!A:A,'Product List'!F:F,"-")</f>
        <v>3.9000000000000004</v>
      </c>
      <c r="E27" s="85">
        <f>IF(SUMIFS('Sales Log'!F:F,'Sales Log'!D:D,Summary!B27,'Sales Log'!B:B,Summary!B$22)=0,"-",(SUMIFS('Sales Log'!F:F,'Sales Log'!D:D,Summary!B27,'Sales Log'!B:B,Summary!B$22)))</f>
        <v>1</v>
      </c>
      <c r="F27" s="91">
        <f t="shared" si="6"/>
        <v>3.9000000000000004</v>
      </c>
      <c r="G27" s="95">
        <f>IFERROR(D27/_xlfn.XLOOKUP(B27,'Sales Log'!D:D,'Sales Log'!I:I), "-")</f>
        <v>0.65108514190317202</v>
      </c>
      <c r="H27" s="102">
        <f t="shared" si="7"/>
        <v>5.7923659587108267E-2</v>
      </c>
      <c r="I27" s="102">
        <f t="shared" si="8"/>
        <v>4.3478260869565216E-2</v>
      </c>
      <c r="J27" s="91">
        <f>IF(SUMIFS('Sales Log'!M:M,'Sales Log'!D:D,Summary!B27,'Sales Log'!G:G,"Card", 'Sales Log'!B:B,Summary!B$22)=0,"-", SUMIFS('Sales Log'!M:M,'Sales Log'!D:D,Summary!B27,'Sales Log'!G:G,"Card", 'Sales Log'!B:B,Summary!B$22))</f>
        <v>3.9000000000000004</v>
      </c>
      <c r="K27" s="91" t="str">
        <f>IF(SUMIFS('Sales Log'!M:M,'Sales Log'!D:D,Summary!C27,'Sales Log'!G:G,"Card", 'Sales Log'!B:B,Summary!B$22)=0,"-", SUMIFS('Sales Log'!M:M,'Sales Log'!D:D,Summary!C27,'Sales Log'!G:G,"Card", 'Sales Log'!B:B,Summary!B$22))</f>
        <v>-</v>
      </c>
      <c r="L27" s="102">
        <f t="shared" si="9"/>
        <v>6.5579283672439884E-2</v>
      </c>
      <c r="M27" s="102" t="str">
        <f t="shared" si="10"/>
        <v>-</v>
      </c>
    </row>
    <row r="28" spans="2:13" x14ac:dyDescent="0.15">
      <c r="B28" s="89" t="s">
        <v>22</v>
      </c>
      <c r="C28" s="86" t="str">
        <f>_xlfn.XLOOKUP(Summary!B28,'Product List'!A:A,'Product List'!C:C, "-")</f>
        <v>Drink</v>
      </c>
      <c r="D28" s="92">
        <f>_xlfn.XLOOKUP(B28,'Product List'!A:A,'Product List'!F:F,"-")</f>
        <v>2.95</v>
      </c>
      <c r="E28" s="86">
        <f>IF(SUMIFS('Sales Log'!F:F,'Sales Log'!D:D,Summary!B28,'Sales Log'!B:B,Summary!B$22)=0,"-",(SUMIFS('Sales Log'!F:F,'Sales Log'!D:D,Summary!B28,'Sales Log'!B:B,Summary!B$22)))</f>
        <v>1</v>
      </c>
      <c r="F28" s="92">
        <f t="shared" si="6"/>
        <v>2.95</v>
      </c>
      <c r="G28" s="96">
        <f>IFERROR(D28/_xlfn.XLOOKUP(B28,'Sales Log'!D:D,'Sales Log'!I:I), "-")</f>
        <v>0.73934837092731831</v>
      </c>
      <c r="H28" s="103">
        <f t="shared" si="7"/>
        <v>4.3814050200504967E-2</v>
      </c>
      <c r="I28" s="103">
        <f t="shared" si="8"/>
        <v>4.3478260869565216E-2</v>
      </c>
      <c r="J28" s="92">
        <f>IF(SUMIFS('Sales Log'!M:M,'Sales Log'!D:D,Summary!B28,'Sales Log'!G:G,"Card", 'Sales Log'!B:B,Summary!B$22)=0,"-", SUMIFS('Sales Log'!M:M,'Sales Log'!D:D,Summary!B28,'Sales Log'!G:G,"Card", 'Sales Log'!B:B,Summary!B$22))</f>
        <v>2.95</v>
      </c>
      <c r="K28" s="92" t="str">
        <f>IF(SUMIFS('Sales Log'!M:M,'Sales Log'!D:D,Summary!C28,'Sales Log'!G:G,"Card", 'Sales Log'!B:B,Summary!B$22)=0,"-", SUMIFS('Sales Log'!M:M,'Sales Log'!D:D,Summary!C28,'Sales Log'!G:G,"Card", 'Sales Log'!B:B,Summary!B$22))</f>
        <v>-</v>
      </c>
      <c r="L28" s="103">
        <f t="shared" si="9"/>
        <v>4.9604842777871194E-2</v>
      </c>
      <c r="M28" s="103" t="str">
        <f t="shared" si="10"/>
        <v>-</v>
      </c>
    </row>
    <row r="29" spans="2:13" x14ac:dyDescent="0.15">
      <c r="B29" s="90" t="s">
        <v>78</v>
      </c>
      <c r="C29" s="87" t="str">
        <f>_xlfn.XLOOKUP(Summary!B29,'Product List'!A:A,'Product List'!C:C,"-")</f>
        <v>-</v>
      </c>
      <c r="D29" s="91" t="str">
        <f>_xlfn.XLOOKUP(B29,'Product List'!A:A,'Product List'!F:F,"-")</f>
        <v>-</v>
      </c>
      <c r="E29" s="85" t="str">
        <f>IF(SUMIFS('Sales Log'!F:F,'Sales Log'!D:D,Summary!B29,'Sales Log'!B:B,Summary!B$22)=0,"-",(SUMIFS('Sales Log'!F:F,'Sales Log'!D:D,Summary!B29,'Sales Log'!B:B,Summary!B$22)))</f>
        <v>-</v>
      </c>
      <c r="F29" s="93" t="str">
        <f t="shared" si="6"/>
        <v>-</v>
      </c>
      <c r="G29" s="95" t="str">
        <f>IFERROR(D29/_xlfn.XLOOKUP(B29,'Sales Log'!D:D,'Sales Log'!I:I), "-")</f>
        <v>-</v>
      </c>
      <c r="H29" s="102" t="str">
        <f t="shared" si="7"/>
        <v>-</v>
      </c>
      <c r="I29" s="102" t="str">
        <f t="shared" si="8"/>
        <v>-</v>
      </c>
      <c r="J29" s="91" t="str">
        <f>IF(SUMIFS('Sales Log'!M:M,'Sales Log'!D:D,Summary!B29,'Sales Log'!G:G,"Card", 'Sales Log'!B:B,Summary!B$22)=0,"-", SUMIFS('Sales Log'!M:M,'Sales Log'!D:D,Summary!B29,'Sales Log'!G:G,"Card", 'Sales Log'!B:B,Summary!B$22))</f>
        <v>-</v>
      </c>
      <c r="K29" s="91" t="str">
        <f>IF(SUMIFS('Sales Log'!M:M,'Sales Log'!D:D,Summary!C29,'Sales Log'!G:G,"Card", 'Sales Log'!B:B,Summary!B$22)=0,"-", SUMIFS('Sales Log'!M:M,'Sales Log'!D:D,Summary!C29,'Sales Log'!G:G,"Card", 'Sales Log'!B:B,Summary!B$22))</f>
        <v>-</v>
      </c>
      <c r="L29" s="102" t="str">
        <f t="shared" si="9"/>
        <v>-</v>
      </c>
      <c r="M29" s="102" t="str">
        <f t="shared" si="10"/>
        <v>-</v>
      </c>
    </row>
    <row r="30" spans="2:13" x14ac:dyDescent="0.15">
      <c r="B30" s="89" t="s">
        <v>78</v>
      </c>
      <c r="C30" s="86" t="str">
        <f>_xlfn.XLOOKUP(Summary!B30,'Product List'!A:A,'Product List'!C:C,"-")</f>
        <v>-</v>
      </c>
      <c r="D30" s="92" t="str">
        <f>_xlfn.XLOOKUP(B30,'Product List'!A:A,'Product List'!F:F,"-")</f>
        <v>-</v>
      </c>
      <c r="E30" s="86" t="str">
        <f>IF(SUMIFS('Sales Log'!F:F,'Sales Log'!D:D,Summary!B30,'Sales Log'!B:B,Summary!B$22)=0,"-",(SUMIFS('Sales Log'!F:F,'Sales Log'!D:D,Summary!B30,'Sales Log'!B:B,Summary!B$22)))</f>
        <v>-</v>
      </c>
      <c r="F30" s="94" t="str">
        <f t="shared" si="6"/>
        <v>-</v>
      </c>
      <c r="G30" s="96" t="str">
        <f>IFERROR(D30/_xlfn.XLOOKUP(B30,'Sales Log'!D:D,'Sales Log'!I:I), "-")</f>
        <v>-</v>
      </c>
      <c r="H30" s="103" t="str">
        <f t="shared" si="7"/>
        <v>-</v>
      </c>
      <c r="I30" s="103" t="str">
        <f t="shared" si="8"/>
        <v>-</v>
      </c>
      <c r="J30" s="92" t="str">
        <f>IF(SUMIFS('Sales Log'!M:M,'Sales Log'!D:D,Summary!B30,'Sales Log'!G:G,"Card", 'Sales Log'!B:B,Summary!B$22)=0,"-", SUMIFS('Sales Log'!M:M,'Sales Log'!D:D,Summary!B30,'Sales Log'!G:G,"Card", 'Sales Log'!B:B,Summary!B$22))</f>
        <v>-</v>
      </c>
      <c r="K30" s="92" t="str">
        <f>IF(SUMIFS('Sales Log'!M:M,'Sales Log'!D:D,Summary!C30,'Sales Log'!G:G,"Card", 'Sales Log'!B:B,Summary!B$22)=0,"-", SUMIFS('Sales Log'!M:M,'Sales Log'!D:D,Summary!C30,'Sales Log'!G:G,"Card", 'Sales Log'!B:B,Summary!B$22))</f>
        <v>-</v>
      </c>
      <c r="L30" s="103" t="str">
        <f t="shared" si="9"/>
        <v>-</v>
      </c>
      <c r="M30" s="103" t="str">
        <f t="shared" si="10"/>
        <v>-</v>
      </c>
    </row>
    <row r="31" spans="2:13" x14ac:dyDescent="0.15">
      <c r="B31" s="90" t="s">
        <v>78</v>
      </c>
      <c r="C31" s="87" t="str">
        <f>_xlfn.XLOOKUP(Summary!B31,'Product List'!A:A,'Product List'!C:C,"-")</f>
        <v>-</v>
      </c>
      <c r="D31" s="91" t="str">
        <f>_xlfn.XLOOKUP(B31,'Product List'!A:A,'Product List'!F:F,"-")</f>
        <v>-</v>
      </c>
      <c r="E31" s="85" t="str">
        <f>IF(SUMIFS('Sales Log'!F:F,'Sales Log'!D:D,Summary!B31,'Sales Log'!B:B,Summary!B$22)=0,"-",(SUMIFS('Sales Log'!F:F,'Sales Log'!D:D,Summary!B31,'Sales Log'!B:B,Summary!B$22)))</f>
        <v>-</v>
      </c>
      <c r="F31" s="93" t="str">
        <f t="shared" si="6"/>
        <v>-</v>
      </c>
      <c r="G31" s="95" t="str">
        <f>IFERROR(D31/_xlfn.XLOOKUP(B31,'Sales Log'!D:D,'Sales Log'!I:I), "-")</f>
        <v>-</v>
      </c>
      <c r="H31" s="102" t="str">
        <f t="shared" si="7"/>
        <v>-</v>
      </c>
      <c r="I31" s="102" t="str">
        <f t="shared" si="8"/>
        <v>-</v>
      </c>
      <c r="J31" s="91" t="str">
        <f>IF(SUMIFS('Sales Log'!M:M,'Sales Log'!D:D,Summary!B31,'Sales Log'!G:G,"Card", 'Sales Log'!B:B,Summary!B$22)=0,"-", SUMIFS('Sales Log'!M:M,'Sales Log'!D:D,Summary!B31,'Sales Log'!G:G,"Card", 'Sales Log'!B:B,Summary!B$22))</f>
        <v>-</v>
      </c>
      <c r="K31" s="91" t="str">
        <f>IF(SUMIFS('Sales Log'!M:M,'Sales Log'!D:D,Summary!C31,'Sales Log'!G:G,"Card", 'Sales Log'!B:B,Summary!B$22)=0,"-", SUMIFS('Sales Log'!M:M,'Sales Log'!D:D,Summary!C31,'Sales Log'!G:G,"Card", 'Sales Log'!B:B,Summary!B$22))</f>
        <v>-</v>
      </c>
      <c r="L31" s="102" t="str">
        <f t="shared" si="9"/>
        <v>-</v>
      </c>
      <c r="M31" s="102" t="str">
        <f t="shared" si="10"/>
        <v>-</v>
      </c>
    </row>
    <row r="32" spans="2:13" x14ac:dyDescent="0.15">
      <c r="B32" s="89" t="s">
        <v>78</v>
      </c>
      <c r="C32" s="86" t="str">
        <f>_xlfn.XLOOKUP(Summary!B32,'Product List'!A:A,'Product List'!C:C,"-")</f>
        <v>-</v>
      </c>
      <c r="D32" s="92" t="str">
        <f>_xlfn.XLOOKUP(B32,'Product List'!A:A,'Product List'!F:F,"-")</f>
        <v>-</v>
      </c>
      <c r="E32" s="86" t="str">
        <f>IF(SUMIFS('Sales Log'!F:F,'Sales Log'!D:D,Summary!B32,'Sales Log'!B:B,Summary!B$22)=0,"-",(SUMIFS('Sales Log'!F:F,'Sales Log'!D:D,Summary!B32,'Sales Log'!B:B,Summary!B$22)))</f>
        <v>-</v>
      </c>
      <c r="F32" s="94" t="str">
        <f t="shared" si="6"/>
        <v>-</v>
      </c>
      <c r="G32" s="96" t="str">
        <f>IFERROR(D32/_xlfn.XLOOKUP(B32,'Sales Log'!D:D,'Sales Log'!I:I), "-")</f>
        <v>-</v>
      </c>
      <c r="H32" s="103" t="str">
        <f t="shared" si="7"/>
        <v>-</v>
      </c>
      <c r="I32" s="103" t="str">
        <f t="shared" si="8"/>
        <v>-</v>
      </c>
      <c r="J32" s="92" t="str">
        <f>IF(SUMIFS('Sales Log'!M:M,'Sales Log'!D:D,Summary!B32,'Sales Log'!G:G,"Card", 'Sales Log'!B:B,Summary!B$22)=0,"-", SUMIFS('Sales Log'!M:M,'Sales Log'!D:D,Summary!B32,'Sales Log'!G:G,"Card", 'Sales Log'!B:B,Summary!B$22))</f>
        <v>-</v>
      </c>
      <c r="K32" s="92" t="str">
        <f>IF(SUMIFS('Sales Log'!M:M,'Sales Log'!D:D,Summary!C32,'Sales Log'!G:G,"Card", 'Sales Log'!B:B,Summary!B$22)=0,"-", SUMIFS('Sales Log'!M:M,'Sales Log'!D:D,Summary!C32,'Sales Log'!G:G,"Card", 'Sales Log'!B:B,Summary!B$22))</f>
        <v>-</v>
      </c>
      <c r="L32" s="103" t="str">
        <f t="shared" si="9"/>
        <v>-</v>
      </c>
      <c r="M32" s="103" t="str">
        <f t="shared" si="10"/>
        <v>-</v>
      </c>
    </row>
    <row r="33" spans="2:13" x14ac:dyDescent="0.15">
      <c r="B33" s="90" t="s">
        <v>78</v>
      </c>
      <c r="C33" s="87" t="str">
        <f>_xlfn.XLOOKUP(Summary!B33,'Product List'!A:A,'Product List'!C:C,"-")</f>
        <v>-</v>
      </c>
      <c r="D33" s="91" t="str">
        <f>_xlfn.XLOOKUP(B33,'Product List'!A:A,'Product List'!F:F,"-")</f>
        <v>-</v>
      </c>
      <c r="E33" s="85" t="str">
        <f>IF(SUMIFS('Sales Log'!F:F,'Sales Log'!D:D,Summary!B33,'Sales Log'!B:B,Summary!B$22)=0,"-",(SUMIFS('Sales Log'!F:F,'Sales Log'!D:D,Summary!B33,'Sales Log'!B:B,Summary!B$22)))</f>
        <v>-</v>
      </c>
      <c r="F33" s="93" t="str">
        <f t="shared" si="6"/>
        <v>-</v>
      </c>
      <c r="G33" s="95" t="str">
        <f>IFERROR(D33/_xlfn.XLOOKUP(B33,'Sales Log'!D:D,'Sales Log'!I:I), "-")</f>
        <v>-</v>
      </c>
      <c r="H33" s="102" t="str">
        <f t="shared" si="7"/>
        <v>-</v>
      </c>
      <c r="I33" s="102" t="str">
        <f t="shared" si="8"/>
        <v>-</v>
      </c>
      <c r="J33" s="91" t="str">
        <f>IF(SUMIFS('Sales Log'!M:M,'Sales Log'!D:D,Summary!B33,'Sales Log'!G:G,"Card", 'Sales Log'!B:B,Summary!B$22)=0,"-", SUMIFS('Sales Log'!M:M,'Sales Log'!D:D,Summary!B33,'Sales Log'!G:G,"Card", 'Sales Log'!B:B,Summary!B$22))</f>
        <v>-</v>
      </c>
      <c r="K33" s="91" t="str">
        <f>IF(SUMIFS('Sales Log'!M:M,'Sales Log'!D:D,Summary!C33,'Sales Log'!G:G,"Card", 'Sales Log'!B:B,Summary!B$22)=0,"-", SUMIFS('Sales Log'!M:M,'Sales Log'!D:D,Summary!C33,'Sales Log'!G:G,"Card", 'Sales Log'!B:B,Summary!B$22))</f>
        <v>-</v>
      </c>
      <c r="L33" s="102" t="str">
        <f t="shared" si="9"/>
        <v>-</v>
      </c>
      <c r="M33" s="102" t="str">
        <f t="shared" si="10"/>
        <v>-</v>
      </c>
    </row>
    <row r="34" spans="2:13" x14ac:dyDescent="0.15">
      <c r="B34" s="89" t="s">
        <v>78</v>
      </c>
      <c r="C34" s="86" t="str">
        <f>_xlfn.XLOOKUP(Summary!B34,'Product List'!A:A,'Product List'!C:C,"-")</f>
        <v>-</v>
      </c>
      <c r="D34" s="92" t="str">
        <f>_xlfn.XLOOKUP(B34,'Product List'!A:A,'Product List'!F:F,"-")</f>
        <v>-</v>
      </c>
      <c r="E34" s="86" t="str">
        <f>IF(SUMIFS('Sales Log'!F:F,'Sales Log'!D:D,Summary!B34,'Sales Log'!B:B,Summary!B$22)=0,"-",(SUMIFS('Sales Log'!F:F,'Sales Log'!D:D,Summary!B34,'Sales Log'!B:B,Summary!B$22)))</f>
        <v>-</v>
      </c>
      <c r="F34" s="94" t="str">
        <f t="shared" si="6"/>
        <v>-</v>
      </c>
      <c r="G34" s="96" t="str">
        <f>IFERROR(D34/_xlfn.XLOOKUP(B34,'Sales Log'!D:D,'Sales Log'!I:I), "-")</f>
        <v>-</v>
      </c>
      <c r="H34" s="103" t="str">
        <f t="shared" si="7"/>
        <v>-</v>
      </c>
      <c r="I34" s="103" t="str">
        <f t="shared" si="8"/>
        <v>-</v>
      </c>
      <c r="J34" s="92" t="str">
        <f>IF(SUMIFS('Sales Log'!M:M,'Sales Log'!D:D,Summary!B34,'Sales Log'!G:G,"Card", 'Sales Log'!B:B,Summary!B$22)=0,"-", SUMIFS('Sales Log'!M:M,'Sales Log'!D:D,Summary!B34,'Sales Log'!G:G,"Card", 'Sales Log'!B:B,Summary!B$22))</f>
        <v>-</v>
      </c>
      <c r="K34" s="92" t="str">
        <f>IF(SUMIFS('Sales Log'!M:M,'Sales Log'!D:D,Summary!C34,'Sales Log'!G:G,"Card", 'Sales Log'!B:B,Summary!B$22)=0,"-", SUMIFS('Sales Log'!M:M,'Sales Log'!D:D,Summary!C34,'Sales Log'!G:G,"Card", 'Sales Log'!B:B,Summary!B$22))</f>
        <v>-</v>
      </c>
      <c r="L34" s="103" t="str">
        <f t="shared" si="9"/>
        <v>-</v>
      </c>
      <c r="M34" s="103" t="str">
        <f t="shared" si="10"/>
        <v>-</v>
      </c>
    </row>
    <row r="35" spans="2:13" x14ac:dyDescent="0.15">
      <c r="B35" s="90" t="s">
        <v>78</v>
      </c>
      <c r="C35" s="87" t="str">
        <f>_xlfn.XLOOKUP(Summary!B35,'Product List'!A:A,'Product List'!C:C,"-")</f>
        <v>-</v>
      </c>
      <c r="D35" s="91" t="str">
        <f>_xlfn.XLOOKUP(B35,'Product List'!A:A,'Product List'!F:F,"-")</f>
        <v>-</v>
      </c>
      <c r="E35" s="85" t="str">
        <f>IF(SUMIFS('Sales Log'!F:F,'Sales Log'!D:D,Summary!B35,'Sales Log'!B:B,Summary!B$22)=0,"-",(SUMIFS('Sales Log'!F:F,'Sales Log'!D:D,Summary!B35,'Sales Log'!B:B,Summary!B$22)))</f>
        <v>-</v>
      </c>
      <c r="F35" s="93" t="str">
        <f t="shared" si="6"/>
        <v>-</v>
      </c>
      <c r="G35" s="95" t="str">
        <f>IFERROR(D35/_xlfn.XLOOKUP(B35,'Sales Log'!D:D,'Sales Log'!I:I), "-")</f>
        <v>-</v>
      </c>
      <c r="H35" s="102" t="str">
        <f t="shared" si="7"/>
        <v>-</v>
      </c>
      <c r="I35" s="102" t="str">
        <f t="shared" si="8"/>
        <v>-</v>
      </c>
      <c r="J35" s="91" t="str">
        <f>IF(SUMIFS('Sales Log'!M:M,'Sales Log'!D:D,Summary!B35,'Sales Log'!G:G,"Card", 'Sales Log'!B:B,Summary!B$22)=0,"-", SUMIFS('Sales Log'!M:M,'Sales Log'!D:D,Summary!B35,'Sales Log'!G:G,"Card", 'Sales Log'!B:B,Summary!B$22))</f>
        <v>-</v>
      </c>
      <c r="K35" s="91" t="str">
        <f>IF(SUMIFS('Sales Log'!M:M,'Sales Log'!D:D,Summary!C35,'Sales Log'!G:G,"Card", 'Sales Log'!B:B,Summary!B$22)=0,"-", SUMIFS('Sales Log'!M:M,'Sales Log'!D:D,Summary!C35,'Sales Log'!G:G,"Card", 'Sales Log'!B:B,Summary!B$22))</f>
        <v>-</v>
      </c>
      <c r="L35" s="102" t="str">
        <f t="shared" si="9"/>
        <v>-</v>
      </c>
      <c r="M35" s="102" t="str">
        <f t="shared" si="10"/>
        <v>-</v>
      </c>
    </row>
    <row r="36" spans="2:13" x14ac:dyDescent="0.15">
      <c r="B36" s="111" t="s">
        <v>87</v>
      </c>
      <c r="C36" s="112"/>
      <c r="D36" s="112"/>
      <c r="E36" s="113">
        <f>SUM(E25:E35)</f>
        <v>23</v>
      </c>
      <c r="F36" s="114">
        <f>SUM(F25:F35)</f>
        <v>67.330000000000013</v>
      </c>
      <c r="G36" s="112"/>
      <c r="H36" s="112"/>
      <c r="I36" s="115"/>
      <c r="J36" s="116">
        <f>SUM(J25:J35)</f>
        <v>59.470000000000006</v>
      </c>
      <c r="K36" s="117">
        <f>SUM(K25:K35)</f>
        <v>7.86</v>
      </c>
      <c r="L36" s="115"/>
      <c r="M36" s="11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CB548-20F6-7C46-9291-59FE8855EDBE}">
  <sheetPr>
    <tabColor rgb="FFC1B3F8"/>
  </sheetPr>
  <dimension ref="A1"/>
  <sheetViews>
    <sheetView workbookViewId="0">
      <selection activeCell="F34" sqref="F34"/>
    </sheetView>
  </sheetViews>
  <sheetFormatPr baseColWidth="10" defaultRowHeight="14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FF985-DB15-8F49-820D-9FAE5D9A9C84}">
  <sheetPr codeName="Sheet1">
    <tabColor theme="4" tint="0.79998168889431442"/>
  </sheetPr>
  <dimension ref="A1:M12"/>
  <sheetViews>
    <sheetView showGridLines="0" topLeftCell="D1" zoomScale="177" zoomScaleNormal="227" workbookViewId="0">
      <pane ySplit="1" topLeftCell="A2" activePane="bottomLeft" state="frozen"/>
      <selection activeCell="F3198" sqref="F3198"/>
      <selection pane="bottomLeft" activeCell="C13" sqref="C13"/>
    </sheetView>
  </sheetViews>
  <sheetFormatPr baseColWidth="10" defaultColWidth="8.5" defaultRowHeight="14" outlineLevelCol="1" x14ac:dyDescent="0.15"/>
  <cols>
    <col min="1" max="1" width="10.5" style="10" customWidth="1" outlineLevel="1"/>
    <col min="2" max="2" width="15.5" style="2" customWidth="1" outlineLevel="1"/>
    <col min="3" max="4" width="15.5" style="1" customWidth="1"/>
    <col min="5" max="5" width="15.5" style="9" customWidth="1" outlineLevel="1"/>
    <col min="6" max="7" width="10.5" style="22" customWidth="1"/>
    <col min="8" max="8" width="15.5" style="9" customWidth="1"/>
    <col min="9" max="10" width="15.5" style="11" customWidth="1" outlineLevel="1"/>
    <col min="11" max="11" width="15.33203125" style="14" customWidth="1" outlineLevel="1"/>
    <col min="12" max="13" width="15.33203125" style="14" customWidth="1"/>
  </cols>
  <sheetData>
    <row r="1" spans="1:13" ht="58.5" customHeight="1" x14ac:dyDescent="0.15">
      <c r="A1" s="15" t="s">
        <v>0</v>
      </c>
      <c r="B1" s="15" t="s">
        <v>88</v>
      </c>
      <c r="C1" s="16" t="s">
        <v>8</v>
      </c>
      <c r="D1" s="16" t="s">
        <v>5</v>
      </c>
      <c r="E1" s="15" t="s">
        <v>4</v>
      </c>
      <c r="F1" s="119" t="s">
        <v>17</v>
      </c>
      <c r="G1" s="119" t="s">
        <v>2</v>
      </c>
      <c r="H1" s="15" t="s">
        <v>3</v>
      </c>
      <c r="I1" s="17" t="s">
        <v>12</v>
      </c>
      <c r="J1" s="17" t="s">
        <v>13</v>
      </c>
      <c r="K1" s="17" t="s">
        <v>15</v>
      </c>
      <c r="L1" s="17" t="s">
        <v>14</v>
      </c>
      <c r="M1" s="17" t="s">
        <v>16</v>
      </c>
    </row>
    <row r="2" spans="1:13" x14ac:dyDescent="0.15">
      <c r="A2" s="10" t="str">
        <f>TEXT(C2,"yyyy")</f>
        <v>2025</v>
      </c>
      <c r="B2" s="2" t="str">
        <f>TEXT(C2,"mmmm yyyy")</f>
        <v>August 2025</v>
      </c>
      <c r="C2" s="1">
        <v>45891</v>
      </c>
      <c r="D2" s="1" t="s">
        <v>9</v>
      </c>
      <c r="E2" s="8" t="str">
        <f>_xlfn.XLOOKUP(D2,'Product List'!A:A,'Product List'!B:B)</f>
        <v>A1</v>
      </c>
      <c r="F2" s="118">
        <v>3</v>
      </c>
      <c r="G2" s="120" t="s">
        <v>6</v>
      </c>
      <c r="H2" s="8" t="str">
        <f>_xlfn.XLOOKUP(D2,'Product List'!A:A,'Product List'!C:C)</f>
        <v>Donut</v>
      </c>
      <c r="I2" s="12">
        <f>_xlfn.XLOOKUP(D2,'Product List'!A:A,'Product List'!D:D)</f>
        <v>4.99</v>
      </c>
      <c r="J2" s="12">
        <f>_xlfn.XLOOKUP(D2,'Product List'!A:A,'Product List'!E:E)</f>
        <v>2.37</v>
      </c>
      <c r="K2" s="13">
        <f>IFERROR(J2*F2, 0)</f>
        <v>7.11</v>
      </c>
      <c r="L2" s="13">
        <f>IFERROR(I2*F2, 0)</f>
        <v>14.97</v>
      </c>
      <c r="M2" s="13">
        <f>IFERROR(L2-K2, 0)</f>
        <v>7.86</v>
      </c>
    </row>
    <row r="3" spans="1:13" x14ac:dyDescent="0.15">
      <c r="A3" s="10" t="str">
        <f t="shared" ref="A3:A8" si="0">TEXT(C3,"yyyy")</f>
        <v>2025</v>
      </c>
      <c r="B3" s="2" t="str">
        <f t="shared" ref="B3:B12" si="1">TEXT(C3,"mmmm yyyy")</f>
        <v>August 2025</v>
      </c>
      <c r="C3" s="1">
        <v>45891</v>
      </c>
      <c r="D3" s="1" t="s">
        <v>9</v>
      </c>
      <c r="E3" s="8" t="str">
        <f>_xlfn.XLOOKUP(D3,'Product List'!A:A,'Product List'!B:B)</f>
        <v>A1</v>
      </c>
      <c r="F3" s="118">
        <v>6</v>
      </c>
      <c r="G3" s="120" t="s">
        <v>7</v>
      </c>
      <c r="H3" s="8" t="str">
        <f>_xlfn.XLOOKUP(D3,'Product List'!A:A,'Product List'!C:C)</f>
        <v>Donut</v>
      </c>
      <c r="I3" s="12">
        <f>_xlfn.XLOOKUP(D3,'Product List'!A:A,'Product List'!D:D)</f>
        <v>4.99</v>
      </c>
      <c r="J3" s="12">
        <f>_xlfn.XLOOKUP(D3,'Product List'!A:A,'Product List'!E:E)</f>
        <v>2.37</v>
      </c>
      <c r="K3" s="13">
        <f t="shared" ref="K3:K7" si="2">IFERROR(J3*F3, 0)</f>
        <v>14.22</v>
      </c>
      <c r="L3" s="13">
        <f t="shared" ref="L3:L7" si="3">IFERROR(I3*F3, 0)</f>
        <v>29.94</v>
      </c>
      <c r="M3" s="13">
        <f t="shared" ref="M3:M7" si="4">IFERROR(L3-K3, 0)</f>
        <v>15.72</v>
      </c>
    </row>
    <row r="4" spans="1:13" x14ac:dyDescent="0.15">
      <c r="A4" s="10" t="str">
        <f t="shared" si="0"/>
        <v>2025</v>
      </c>
      <c r="B4" s="2" t="str">
        <f t="shared" si="1"/>
        <v>August 2025</v>
      </c>
      <c r="C4" s="1">
        <v>45891</v>
      </c>
      <c r="D4" s="1" t="s">
        <v>10</v>
      </c>
      <c r="E4" s="8" t="str">
        <f>_xlfn.XLOOKUP(D4,'Product List'!A:A,'Product List'!B:B)</f>
        <v>A2</v>
      </c>
      <c r="F4" s="118">
        <v>7</v>
      </c>
      <c r="G4" s="120" t="s">
        <v>6</v>
      </c>
      <c r="H4" s="8" t="str">
        <f>_xlfn.XLOOKUP(D4,'Product List'!A:A,'Product List'!C:C)</f>
        <v>Donut</v>
      </c>
      <c r="I4" s="12">
        <f>_xlfn.XLOOKUP(D4,'Product List'!A:A,'Product List'!D:D)</f>
        <v>4.99</v>
      </c>
      <c r="J4" s="12">
        <f>_xlfn.XLOOKUP(D4,'Product List'!A:A,'Product List'!E:E)</f>
        <v>1.46</v>
      </c>
      <c r="K4" s="13">
        <f t="shared" si="2"/>
        <v>10.219999999999999</v>
      </c>
      <c r="L4" s="13">
        <f t="shared" si="3"/>
        <v>34.93</v>
      </c>
      <c r="M4" s="13">
        <f t="shared" si="4"/>
        <v>24.71</v>
      </c>
    </row>
    <row r="5" spans="1:13" x14ac:dyDescent="0.15">
      <c r="A5" s="10" t="str">
        <f t="shared" si="0"/>
        <v>2025</v>
      </c>
      <c r="B5" s="2" t="str">
        <f t="shared" si="1"/>
        <v>August 2025</v>
      </c>
      <c r="C5" s="1">
        <v>45891</v>
      </c>
      <c r="D5" s="1" t="s">
        <v>10</v>
      </c>
      <c r="E5" s="8" t="str">
        <f>_xlfn.XLOOKUP(D5,'Product List'!A:A,'Product List'!B:B)</f>
        <v>A2</v>
      </c>
      <c r="F5" s="118">
        <v>8</v>
      </c>
      <c r="G5" s="120" t="s">
        <v>7</v>
      </c>
      <c r="H5" s="8" t="str">
        <f>_xlfn.XLOOKUP(D5,'Product List'!A:A,'Product List'!C:C)</f>
        <v>Donut</v>
      </c>
      <c r="I5" s="12">
        <f>_xlfn.XLOOKUP(D5,'Product List'!A:A,'Product List'!D:D)</f>
        <v>4.99</v>
      </c>
      <c r="J5" s="12">
        <f>_xlfn.XLOOKUP(D5,'Product List'!A:A,'Product List'!E:E)</f>
        <v>1.46</v>
      </c>
      <c r="K5" s="13">
        <f t="shared" si="2"/>
        <v>11.68</v>
      </c>
      <c r="L5" s="13">
        <f t="shared" si="3"/>
        <v>39.92</v>
      </c>
      <c r="M5" s="13">
        <f t="shared" si="4"/>
        <v>28.240000000000002</v>
      </c>
    </row>
    <row r="6" spans="1:13" x14ac:dyDescent="0.15">
      <c r="A6" s="10" t="str">
        <f t="shared" si="0"/>
        <v>2025</v>
      </c>
      <c r="B6" s="2" t="str">
        <f t="shared" si="1"/>
        <v>August 2025</v>
      </c>
      <c r="C6" s="1">
        <v>45891</v>
      </c>
      <c r="D6" s="1" t="s">
        <v>11</v>
      </c>
      <c r="E6" s="8" t="str">
        <f>_xlfn.XLOOKUP(D6,'Product List'!A:A,'Product List'!B:B)</f>
        <v>A3</v>
      </c>
      <c r="F6" s="118">
        <v>11</v>
      </c>
      <c r="G6" s="120" t="s">
        <v>7</v>
      </c>
      <c r="H6" s="8" t="str">
        <f>_xlfn.XLOOKUP(D6,'Product List'!A:A,'Product List'!C:C)</f>
        <v>Donut</v>
      </c>
      <c r="I6" s="12">
        <f>_xlfn.XLOOKUP(D6,'Product List'!A:A,'Product List'!D:D)</f>
        <v>5.99</v>
      </c>
      <c r="J6" s="12">
        <f>_xlfn.XLOOKUP(D6,'Product List'!A:A,'Product List'!E:E)</f>
        <v>2.09</v>
      </c>
      <c r="K6" s="13">
        <f t="shared" si="2"/>
        <v>22.99</v>
      </c>
      <c r="L6" s="13">
        <f t="shared" si="3"/>
        <v>65.89</v>
      </c>
      <c r="M6" s="13">
        <f t="shared" si="4"/>
        <v>42.900000000000006</v>
      </c>
    </row>
    <row r="7" spans="1:13" x14ac:dyDescent="0.15">
      <c r="A7" s="10" t="str">
        <f t="shared" si="0"/>
        <v>2025</v>
      </c>
      <c r="B7" s="2" t="str">
        <f t="shared" si="1"/>
        <v>August 2025</v>
      </c>
      <c r="C7" s="1">
        <v>45891</v>
      </c>
      <c r="D7" s="1" t="s">
        <v>22</v>
      </c>
      <c r="E7" s="8" t="str">
        <f>_xlfn.XLOOKUP(D7,'Product List'!A:A,'Product List'!B:B)</f>
        <v>B1</v>
      </c>
      <c r="F7" s="118">
        <v>11</v>
      </c>
      <c r="G7" s="120" t="s">
        <v>7</v>
      </c>
      <c r="H7" s="8" t="str">
        <f>_xlfn.XLOOKUP(D7,'Product List'!A:A,'Product List'!C:C)</f>
        <v>Drink</v>
      </c>
      <c r="I7" s="12">
        <f>_xlfn.XLOOKUP(D7,'Product List'!A:A,'Product List'!D:D)</f>
        <v>3.99</v>
      </c>
      <c r="J7" s="12">
        <f>_xlfn.XLOOKUP(D7,'Product List'!A:A,'Product List'!E:E)</f>
        <v>1.04</v>
      </c>
      <c r="K7" s="13">
        <f t="shared" si="2"/>
        <v>11.440000000000001</v>
      </c>
      <c r="L7" s="13">
        <f t="shared" si="3"/>
        <v>43.89</v>
      </c>
      <c r="M7" s="13">
        <f t="shared" si="4"/>
        <v>32.450000000000003</v>
      </c>
    </row>
    <row r="8" spans="1:13" x14ac:dyDescent="0.15">
      <c r="A8" s="10" t="str">
        <f t="shared" si="0"/>
        <v>2025</v>
      </c>
      <c r="B8" s="2" t="str">
        <f t="shared" si="1"/>
        <v>September 2025</v>
      </c>
      <c r="C8" s="1">
        <v>45901</v>
      </c>
      <c r="D8" s="1" t="s">
        <v>9</v>
      </c>
      <c r="E8" s="8" t="str">
        <f>_xlfn.XLOOKUP(D8,'Product List'!A:A,'Product List'!B:B)</f>
        <v>A1</v>
      </c>
      <c r="F8" s="22">
        <v>12</v>
      </c>
      <c r="G8" s="22" t="s">
        <v>7</v>
      </c>
      <c r="H8" s="8" t="str">
        <f>_xlfn.XLOOKUP(D8,'Product List'!A:A,'Product List'!C:C)</f>
        <v>Donut</v>
      </c>
      <c r="I8" s="12">
        <f>_xlfn.XLOOKUP(D8,'Product List'!A:A,'Product List'!D:D)</f>
        <v>4.99</v>
      </c>
      <c r="J8" s="12">
        <f>_xlfn.XLOOKUP(D8,'Product List'!A:A,'Product List'!E:E)</f>
        <v>2.37</v>
      </c>
      <c r="K8" s="13">
        <f t="shared" ref="K8" si="5">IFERROR(J8*F8, 0)</f>
        <v>28.44</v>
      </c>
      <c r="L8" s="13">
        <f t="shared" ref="L8" si="6">IFERROR(I8*F8, 0)</f>
        <v>59.88</v>
      </c>
      <c r="M8" s="13">
        <f t="shared" ref="M8" si="7">IFERROR(L8-K8, 0)</f>
        <v>31.44</v>
      </c>
    </row>
    <row r="9" spans="1:13" x14ac:dyDescent="0.15">
      <c r="A9" s="10" t="str">
        <f t="shared" ref="A9:A10" si="8">TEXT(C9,"yyyy")</f>
        <v>2025</v>
      </c>
      <c r="B9" s="2" t="str">
        <f t="shared" si="1"/>
        <v>September 2025</v>
      </c>
      <c r="C9" s="1">
        <v>45901</v>
      </c>
      <c r="D9" s="1" t="s">
        <v>10</v>
      </c>
      <c r="E9" s="8" t="str">
        <f>_xlfn.XLOOKUP(D9,'Product List'!A:A,'Product List'!B:B)</f>
        <v>A2</v>
      </c>
      <c r="F9" s="22">
        <v>6</v>
      </c>
      <c r="G9" s="22" t="s">
        <v>7</v>
      </c>
      <c r="H9" s="8" t="str">
        <f>_xlfn.XLOOKUP(D9,'Product List'!A:A,'Product List'!C:C)</f>
        <v>Donut</v>
      </c>
      <c r="I9" s="12">
        <f>_xlfn.XLOOKUP(D9,'Product List'!A:A,'Product List'!D:D)</f>
        <v>4.99</v>
      </c>
      <c r="J9" s="12">
        <f>_xlfn.XLOOKUP(D9,'Product List'!A:A,'Product List'!E:E)</f>
        <v>1.46</v>
      </c>
      <c r="K9" s="13">
        <f t="shared" ref="K9:K10" si="9">IFERROR(J9*F9, 0)</f>
        <v>8.76</v>
      </c>
      <c r="L9" s="13">
        <f t="shared" ref="L9:L10" si="10">IFERROR(I9*F9, 0)</f>
        <v>29.94</v>
      </c>
      <c r="M9" s="13">
        <f t="shared" ref="M9:M10" si="11">IFERROR(L9-K9, 0)</f>
        <v>21.18</v>
      </c>
    </row>
    <row r="10" spans="1:13" x14ac:dyDescent="0.15">
      <c r="A10" s="10" t="str">
        <f t="shared" si="8"/>
        <v>2025</v>
      </c>
      <c r="B10" s="2" t="str">
        <f t="shared" si="1"/>
        <v>September 2025</v>
      </c>
      <c r="C10" s="1">
        <v>45901</v>
      </c>
      <c r="D10" s="1" t="s">
        <v>9</v>
      </c>
      <c r="E10" s="8" t="str">
        <f>_xlfn.XLOOKUP(D10,'Product List'!A:A,'Product List'!B:B)</f>
        <v>A1</v>
      </c>
      <c r="F10" s="22">
        <v>3</v>
      </c>
      <c r="G10" s="22" t="s">
        <v>6</v>
      </c>
      <c r="H10" s="8" t="str">
        <f>_xlfn.XLOOKUP(D10,'Product List'!A:A,'Product List'!C:C)</f>
        <v>Donut</v>
      </c>
      <c r="I10" s="12">
        <f>_xlfn.XLOOKUP(D10,'Product List'!A:A,'Product List'!D:D)</f>
        <v>4.99</v>
      </c>
      <c r="J10" s="12">
        <f>_xlfn.XLOOKUP(D10,'Product List'!A:A,'Product List'!E:E)</f>
        <v>2.37</v>
      </c>
      <c r="K10" s="13">
        <f t="shared" si="9"/>
        <v>7.11</v>
      </c>
      <c r="L10" s="13">
        <f t="shared" si="10"/>
        <v>14.97</v>
      </c>
      <c r="M10" s="13">
        <f t="shared" si="11"/>
        <v>7.86</v>
      </c>
    </row>
    <row r="11" spans="1:13" x14ac:dyDescent="0.15">
      <c r="A11" s="10" t="str">
        <f t="shared" ref="A11:A12" si="12">TEXT(C11,"yyyy")</f>
        <v>2025</v>
      </c>
      <c r="B11" s="2" t="str">
        <f t="shared" si="1"/>
        <v>September 2025</v>
      </c>
      <c r="C11" s="1">
        <v>45902</v>
      </c>
      <c r="D11" s="1" t="s">
        <v>22</v>
      </c>
      <c r="E11" s="8" t="str">
        <f>_xlfn.XLOOKUP(D11,'Product List'!A:A,'Product List'!B:B)</f>
        <v>B1</v>
      </c>
      <c r="F11" s="22">
        <v>1</v>
      </c>
      <c r="G11" s="22" t="s">
        <v>7</v>
      </c>
      <c r="H11" s="8" t="str">
        <f>_xlfn.XLOOKUP(D11,'Product List'!A:A,'Product List'!C:C)</f>
        <v>Drink</v>
      </c>
      <c r="I11" s="12">
        <f>_xlfn.XLOOKUP(D11,'Product List'!A:A,'Product List'!D:D)</f>
        <v>3.99</v>
      </c>
      <c r="J11" s="12">
        <f>_xlfn.XLOOKUP(D11,'Product List'!A:A,'Product List'!E:E)</f>
        <v>1.04</v>
      </c>
      <c r="K11" s="13">
        <f t="shared" ref="K11:K12" si="13">IFERROR(J11*F11, 0)</f>
        <v>1.04</v>
      </c>
      <c r="L11" s="13">
        <f t="shared" ref="L11:L12" si="14">IFERROR(I11*F11, 0)</f>
        <v>3.99</v>
      </c>
      <c r="M11" s="13">
        <f t="shared" ref="M11:M12" si="15">IFERROR(L11-K11, 0)</f>
        <v>2.95</v>
      </c>
    </row>
    <row r="12" spans="1:13" x14ac:dyDescent="0.15">
      <c r="A12" s="10" t="str">
        <f t="shared" si="12"/>
        <v>2025</v>
      </c>
      <c r="B12" s="2" t="str">
        <f t="shared" si="1"/>
        <v>September 2025</v>
      </c>
      <c r="C12" s="1">
        <v>45903</v>
      </c>
      <c r="D12" s="1" t="s">
        <v>11</v>
      </c>
      <c r="E12" s="8" t="str">
        <f>_xlfn.XLOOKUP(D12,'Product List'!A:A,'Product List'!B:B)</f>
        <v>A3</v>
      </c>
      <c r="F12" s="22">
        <v>1</v>
      </c>
      <c r="G12" s="22" t="s">
        <v>7</v>
      </c>
      <c r="H12" s="8" t="str">
        <f>_xlfn.XLOOKUP(D12,'Product List'!A:A,'Product List'!C:C)</f>
        <v>Donut</v>
      </c>
      <c r="I12" s="12">
        <f>_xlfn.XLOOKUP(D12,'Product List'!A:A,'Product List'!D:D)</f>
        <v>5.99</v>
      </c>
      <c r="J12" s="12">
        <f>_xlfn.XLOOKUP(D12,'Product List'!A:A,'Product List'!E:E)</f>
        <v>2.09</v>
      </c>
      <c r="K12" s="13">
        <f t="shared" si="13"/>
        <v>2.09</v>
      </c>
      <c r="L12" s="13">
        <f t="shared" si="14"/>
        <v>5.99</v>
      </c>
      <c r="M12" s="13">
        <f t="shared" si="15"/>
        <v>3.9000000000000004</v>
      </c>
    </row>
  </sheetData>
  <autoFilter ref="A1:M12" xr:uid="{00000000-0001-0000-0200-000000000000}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DB866-EFA4-1C4D-8F9E-FF5F44050EB3}">
  <sheetPr codeName="Sheet2">
    <tabColor theme="4" tint="0.79998168889431442"/>
  </sheetPr>
  <dimension ref="A1:G4"/>
  <sheetViews>
    <sheetView showGridLines="0" zoomScale="163" zoomScaleNormal="227" workbookViewId="0">
      <pane ySplit="1" topLeftCell="A2" activePane="bottomLeft" state="frozen"/>
      <selection activeCell="F3198" sqref="F3198"/>
      <selection pane="bottomLeft" activeCell="C7" sqref="C7"/>
    </sheetView>
  </sheetViews>
  <sheetFormatPr baseColWidth="10" defaultColWidth="8.5" defaultRowHeight="14" outlineLevelCol="1" x14ac:dyDescent="0.15"/>
  <cols>
    <col min="1" max="1" width="10.5" style="10" customWidth="1" outlineLevel="1"/>
    <col min="2" max="2" width="15.5" style="2" customWidth="1" outlineLevel="1"/>
    <col min="3" max="4" width="15.5" style="1" customWidth="1"/>
    <col min="5" max="5" width="10.5" style="22" customWidth="1"/>
    <col min="6" max="6" width="15.33203125" style="25" customWidth="1"/>
    <col min="7" max="7" width="15.33203125" style="26" customWidth="1"/>
  </cols>
  <sheetData>
    <row r="1" spans="1:7" ht="58.5" customHeight="1" x14ac:dyDescent="0.15">
      <c r="A1" s="18" t="s">
        <v>0</v>
      </c>
      <c r="B1" s="18" t="s">
        <v>1</v>
      </c>
      <c r="C1" s="19" t="s">
        <v>8</v>
      </c>
      <c r="D1" s="19" t="s">
        <v>5</v>
      </c>
      <c r="E1" s="20" t="s">
        <v>25</v>
      </c>
      <c r="F1" s="21" t="s">
        <v>26</v>
      </c>
      <c r="G1" s="18" t="s">
        <v>27</v>
      </c>
    </row>
    <row r="2" spans="1:7" x14ac:dyDescent="0.15">
      <c r="A2" s="10" t="str">
        <f>TEXT(C2,"yyyy")</f>
        <v>2023</v>
      </c>
      <c r="B2" s="2" t="str">
        <f>TEXT(C2,"mmmm")</f>
        <v>August</v>
      </c>
      <c r="C2" s="1">
        <v>45160</v>
      </c>
      <c r="D2" s="1" t="s">
        <v>33</v>
      </c>
      <c r="E2" s="22" t="s">
        <v>29</v>
      </c>
      <c r="F2" s="23">
        <v>3000</v>
      </c>
      <c r="G2" s="24" t="s">
        <v>32</v>
      </c>
    </row>
    <row r="3" spans="1:7" x14ac:dyDescent="0.15">
      <c r="A3" s="10" t="str">
        <f t="shared" ref="A3:A4" si="0">TEXT(C3,"yyyy")</f>
        <v>2024</v>
      </c>
      <c r="B3" s="2" t="str">
        <f t="shared" ref="B3:B4" si="1">TEXT(C3,"mmmm")</f>
        <v>January</v>
      </c>
      <c r="C3" s="1">
        <v>45292</v>
      </c>
      <c r="D3" s="1" t="s">
        <v>28</v>
      </c>
      <c r="E3" s="22" t="s">
        <v>34</v>
      </c>
      <c r="F3" s="23">
        <v>15000</v>
      </c>
      <c r="G3" s="24" t="s">
        <v>31</v>
      </c>
    </row>
    <row r="4" spans="1:7" x14ac:dyDescent="0.15">
      <c r="A4" s="10" t="str">
        <f t="shared" si="0"/>
        <v>2025</v>
      </c>
      <c r="B4" s="2" t="str">
        <f t="shared" si="1"/>
        <v>August</v>
      </c>
      <c r="C4" s="1">
        <v>45891</v>
      </c>
      <c r="D4" s="1" t="s">
        <v>33</v>
      </c>
      <c r="E4" s="22" t="s">
        <v>29</v>
      </c>
      <c r="F4" s="23">
        <v>2756</v>
      </c>
      <c r="G4" s="24" t="s">
        <v>32</v>
      </c>
    </row>
  </sheetData>
  <autoFilter ref="A1:G4" xr:uid="{00000000-0001-0000-0200-000000000000}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B9CF5-3855-5942-96EC-F1AC505BCC74}">
  <sheetPr codeName="Sheet3">
    <tabColor theme="4" tint="0.79998168889431442"/>
  </sheetPr>
  <dimension ref="A1:F5"/>
  <sheetViews>
    <sheetView zoomScale="160" zoomScaleNormal="182" workbookViewId="0">
      <pane ySplit="1" topLeftCell="A2" activePane="bottomLeft" state="frozen"/>
      <selection pane="bottomLeft" activeCell="C10" sqref="C10"/>
    </sheetView>
  </sheetViews>
  <sheetFormatPr baseColWidth="10" defaultColWidth="8.83203125" defaultRowHeight="30" customHeight="1" x14ac:dyDescent="0.15"/>
  <cols>
    <col min="1" max="1" width="21.1640625" style="4" customWidth="1"/>
    <col min="2" max="2" width="8.83203125" style="5"/>
    <col min="3" max="3" width="17.33203125" style="6" customWidth="1"/>
    <col min="4" max="4" width="16.1640625" style="7" customWidth="1"/>
    <col min="5" max="5" width="14.1640625" style="7" customWidth="1"/>
    <col min="6" max="6" width="14.1640625" style="31" customWidth="1"/>
    <col min="7" max="16384" width="8.83203125" style="3"/>
  </cols>
  <sheetData>
    <row r="1" spans="1:6" ht="30" customHeight="1" x14ac:dyDescent="0.15">
      <c r="A1" s="27" t="s">
        <v>30</v>
      </c>
      <c r="B1" s="28" t="s">
        <v>4</v>
      </c>
      <c r="C1" s="29" t="s">
        <v>3</v>
      </c>
      <c r="D1" s="29" t="s">
        <v>12</v>
      </c>
      <c r="E1" s="30" t="s">
        <v>13</v>
      </c>
      <c r="F1" s="78" t="s">
        <v>35</v>
      </c>
    </row>
    <row r="2" spans="1:6" ht="30" customHeight="1" x14ac:dyDescent="0.15">
      <c r="A2" s="79" t="s">
        <v>9</v>
      </c>
      <c r="B2" s="80" t="s">
        <v>18</v>
      </c>
      <c r="C2" s="81" t="s">
        <v>21</v>
      </c>
      <c r="D2" s="82">
        <v>4.99</v>
      </c>
      <c r="E2" s="82">
        <v>2.37</v>
      </c>
      <c r="F2" s="83">
        <f>D2-E2</f>
        <v>2.62</v>
      </c>
    </row>
    <row r="3" spans="1:6" ht="30" customHeight="1" x14ac:dyDescent="0.15">
      <c r="A3" s="79" t="s">
        <v>10</v>
      </c>
      <c r="B3" s="80" t="s">
        <v>19</v>
      </c>
      <c r="C3" s="81" t="s">
        <v>21</v>
      </c>
      <c r="D3" s="82">
        <v>4.99</v>
      </c>
      <c r="E3" s="82">
        <v>1.46</v>
      </c>
      <c r="F3" s="83">
        <f t="shared" ref="F3:F5" si="0">D3-E3</f>
        <v>3.5300000000000002</v>
      </c>
    </row>
    <row r="4" spans="1:6" ht="30" customHeight="1" x14ac:dyDescent="0.15">
      <c r="A4" s="79" t="s">
        <v>11</v>
      </c>
      <c r="B4" s="80" t="s">
        <v>20</v>
      </c>
      <c r="C4" s="81" t="s">
        <v>21</v>
      </c>
      <c r="D4" s="82">
        <v>5.99</v>
      </c>
      <c r="E4" s="82">
        <v>2.09</v>
      </c>
      <c r="F4" s="83">
        <f t="shared" si="0"/>
        <v>3.9000000000000004</v>
      </c>
    </row>
    <row r="5" spans="1:6" ht="30" customHeight="1" x14ac:dyDescent="0.15">
      <c r="A5" s="84" t="s">
        <v>22</v>
      </c>
      <c r="B5" s="80" t="s">
        <v>23</v>
      </c>
      <c r="C5" s="81" t="s">
        <v>24</v>
      </c>
      <c r="D5" s="82">
        <v>3.99</v>
      </c>
      <c r="E5" s="82">
        <v>1.04</v>
      </c>
      <c r="F5" s="83">
        <f t="shared" si="0"/>
        <v>2.95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2A796-7E9F-834A-B999-D8278C1E3F3E}">
  <sheetPr codeName="Sheet4">
    <tabColor theme="4" tint="0.79998168889431442"/>
  </sheetPr>
  <dimension ref="A1:G80"/>
  <sheetViews>
    <sheetView zoomScale="138" zoomScaleNormal="182" workbookViewId="0"/>
  </sheetViews>
  <sheetFormatPr baseColWidth="10" defaultColWidth="8.83203125" defaultRowHeight="30" customHeight="1" x14ac:dyDescent="0.15"/>
  <cols>
    <col min="1" max="1" width="10.5" style="4" customWidth="1"/>
    <col min="2" max="2" width="23.33203125" style="5" customWidth="1"/>
    <col min="3" max="3" width="50.6640625" style="6" customWidth="1"/>
    <col min="4" max="4" width="9.83203125" style="7" customWidth="1"/>
    <col min="5" max="5" width="10.1640625" style="7" customWidth="1"/>
    <col min="6" max="6" width="10.83203125" style="31" customWidth="1"/>
    <col min="7" max="7" width="9.33203125" style="3" customWidth="1"/>
    <col min="8" max="16384" width="8.83203125" style="3"/>
  </cols>
  <sheetData>
    <row r="1" spans="1:7" ht="30" customHeight="1" thickBot="1" x14ac:dyDescent="0.2">
      <c r="A1" s="3"/>
      <c r="B1" s="3"/>
      <c r="C1" s="3"/>
      <c r="D1" s="3"/>
      <c r="E1" s="3"/>
      <c r="F1" s="3"/>
    </row>
    <row r="2" spans="1:7" ht="30" customHeight="1" x14ac:dyDescent="0.15">
      <c r="A2" s="3"/>
      <c r="B2" s="127" t="s">
        <v>36</v>
      </c>
      <c r="C2" s="128"/>
      <c r="D2" s="3"/>
      <c r="E2" s="3"/>
      <c r="F2" s="7"/>
      <c r="G2" s="7"/>
    </row>
    <row r="3" spans="1:7" ht="30" customHeight="1" x14ac:dyDescent="0.15">
      <c r="A3" s="3"/>
      <c r="B3" s="32" t="s">
        <v>37</v>
      </c>
      <c r="C3" s="34">
        <v>5</v>
      </c>
      <c r="D3" s="3"/>
      <c r="E3" s="3"/>
      <c r="F3" s="7"/>
      <c r="G3" s="7"/>
    </row>
    <row r="4" spans="1:7" ht="30" customHeight="1" x14ac:dyDescent="0.15">
      <c r="A4" s="3"/>
      <c r="B4" s="32" t="s">
        <v>38</v>
      </c>
      <c r="C4" s="35">
        <v>0.4</v>
      </c>
      <c r="D4" s="3"/>
      <c r="E4" s="3"/>
      <c r="F4" s="7"/>
      <c r="G4" s="7"/>
    </row>
    <row r="5" spans="1:7" ht="15" customHeight="1" x14ac:dyDescent="0.15">
      <c r="A5" s="3"/>
      <c r="B5" s="33"/>
      <c r="C5" s="36"/>
      <c r="D5" s="3"/>
      <c r="E5" s="3"/>
      <c r="F5" s="7"/>
      <c r="G5" s="7"/>
    </row>
    <row r="6" spans="1:7" ht="30" customHeight="1" x14ac:dyDescent="0.15">
      <c r="B6" s="44" t="s">
        <v>39</v>
      </c>
      <c r="C6" s="37" t="s">
        <v>62</v>
      </c>
      <c r="F6" s="7"/>
      <c r="G6" s="7"/>
    </row>
    <row r="7" spans="1:7" ht="15" customHeight="1" x14ac:dyDescent="0.15">
      <c r="B7" s="33"/>
      <c r="C7" s="38"/>
      <c r="F7" s="7"/>
      <c r="G7" s="7"/>
    </row>
    <row r="8" spans="1:7" ht="30" customHeight="1" thickBot="1" x14ac:dyDescent="0.2">
      <c r="B8" s="39" t="s">
        <v>40</v>
      </c>
      <c r="C8" s="40">
        <f>C3/(1-C4)</f>
        <v>8.3333333333333339</v>
      </c>
      <c r="F8" s="7"/>
      <c r="G8" s="7"/>
    </row>
    <row r="9" spans="1:7" ht="30" customHeight="1" x14ac:dyDescent="0.15">
      <c r="B9" s="52"/>
      <c r="C9" s="53"/>
      <c r="F9" s="7"/>
      <c r="G9" s="7"/>
    </row>
    <row r="10" spans="1:7" ht="30" customHeight="1" thickBot="1" x14ac:dyDescent="0.2">
      <c r="B10" s="52"/>
      <c r="C10" s="53"/>
      <c r="F10" s="7"/>
      <c r="G10" s="7"/>
    </row>
    <row r="11" spans="1:7" ht="30" customHeight="1" x14ac:dyDescent="0.15">
      <c r="B11" s="137" t="s">
        <v>60</v>
      </c>
      <c r="C11" s="138"/>
      <c r="F11" s="7"/>
      <c r="G11" s="7"/>
    </row>
    <row r="12" spans="1:7" ht="30" customHeight="1" x14ac:dyDescent="0.15">
      <c r="B12" s="32" t="s">
        <v>51</v>
      </c>
      <c r="C12" s="34">
        <v>10</v>
      </c>
      <c r="F12" s="7"/>
      <c r="G12" s="7"/>
    </row>
    <row r="13" spans="1:7" ht="30" customHeight="1" x14ac:dyDescent="0.15">
      <c r="B13" s="32" t="s">
        <v>37</v>
      </c>
      <c r="C13" s="41">
        <v>5</v>
      </c>
      <c r="F13" s="7"/>
      <c r="G13" s="7"/>
    </row>
    <row r="14" spans="1:7" ht="17" customHeight="1" x14ac:dyDescent="0.15">
      <c r="B14" s="33"/>
      <c r="C14" s="36"/>
      <c r="F14" s="7"/>
      <c r="G14" s="7"/>
    </row>
    <row r="15" spans="1:7" ht="30" customHeight="1" x14ac:dyDescent="0.15">
      <c r="B15" s="44" t="s">
        <v>39</v>
      </c>
      <c r="C15" s="37" t="s">
        <v>61</v>
      </c>
      <c r="F15" s="7"/>
      <c r="G15" s="7"/>
    </row>
    <row r="16" spans="1:7" ht="15" customHeight="1" x14ac:dyDescent="0.15">
      <c r="B16" s="33"/>
      <c r="C16" s="38"/>
    </row>
    <row r="17" spans="2:3" ht="32" customHeight="1" thickBot="1" x14ac:dyDescent="0.2">
      <c r="B17" s="39" t="s">
        <v>64</v>
      </c>
      <c r="C17" s="64">
        <f>(C12-C13)/C12</f>
        <v>0.5</v>
      </c>
    </row>
    <row r="18" spans="2:3" ht="32" customHeight="1" x14ac:dyDescent="0.15">
      <c r="B18" s="52"/>
      <c r="C18" s="53"/>
    </row>
    <row r="19" spans="2:3" ht="32" customHeight="1" thickBot="1" x14ac:dyDescent="0.2">
      <c r="B19" s="52"/>
      <c r="C19" s="53"/>
    </row>
    <row r="20" spans="2:3" ht="30" customHeight="1" x14ac:dyDescent="0.15">
      <c r="B20" s="129" t="s">
        <v>41</v>
      </c>
      <c r="C20" s="130"/>
    </row>
    <row r="21" spans="2:3" ht="30" customHeight="1" x14ac:dyDescent="0.15">
      <c r="B21" s="54" t="s">
        <v>37</v>
      </c>
      <c r="C21" s="55">
        <v>5</v>
      </c>
    </row>
    <row r="22" spans="2:3" ht="30" customHeight="1" x14ac:dyDescent="0.15">
      <c r="B22" s="54" t="s">
        <v>42</v>
      </c>
      <c r="C22" s="56">
        <v>0.4</v>
      </c>
    </row>
    <row r="23" spans="2:3" ht="16" customHeight="1" x14ac:dyDescent="0.15">
      <c r="B23" s="57"/>
      <c r="C23" s="58"/>
    </row>
    <row r="24" spans="2:3" ht="30" customHeight="1" x14ac:dyDescent="0.15">
      <c r="B24" s="59" t="s">
        <v>39</v>
      </c>
      <c r="C24" s="60" t="s">
        <v>43</v>
      </c>
    </row>
    <row r="25" spans="2:3" ht="15" customHeight="1" x14ac:dyDescent="0.15">
      <c r="B25" s="57"/>
      <c r="C25" s="61"/>
    </row>
    <row r="26" spans="2:3" ht="30" customHeight="1" thickBot="1" x14ac:dyDescent="0.2">
      <c r="B26" s="62" t="s">
        <v>40</v>
      </c>
      <c r="C26" s="63">
        <f>C21*(1+C22)</f>
        <v>7</v>
      </c>
    </row>
    <row r="28" spans="2:3" ht="30" customHeight="1" thickBot="1" x14ac:dyDescent="0.2"/>
    <row r="29" spans="2:3" ht="30" customHeight="1" x14ac:dyDescent="0.15">
      <c r="B29" s="131" t="s">
        <v>44</v>
      </c>
      <c r="C29" s="132"/>
    </row>
    <row r="30" spans="2:3" ht="30" customHeight="1" x14ac:dyDescent="0.15">
      <c r="B30" s="32" t="s">
        <v>45</v>
      </c>
      <c r="C30" s="34">
        <v>1000</v>
      </c>
    </row>
    <row r="31" spans="2:3" ht="30" customHeight="1" x14ac:dyDescent="0.15">
      <c r="B31" s="32" t="s">
        <v>51</v>
      </c>
      <c r="C31" s="41">
        <v>4</v>
      </c>
    </row>
    <row r="32" spans="2:3" ht="30" customHeight="1" x14ac:dyDescent="0.15">
      <c r="B32" s="32" t="s">
        <v>52</v>
      </c>
      <c r="C32" s="34">
        <v>1.5</v>
      </c>
    </row>
    <row r="33" spans="2:3" ht="18" customHeight="1" x14ac:dyDescent="0.15">
      <c r="B33" s="33"/>
      <c r="C33" s="36"/>
    </row>
    <row r="34" spans="2:3" ht="30" customHeight="1" x14ac:dyDescent="0.15">
      <c r="B34" s="44" t="s">
        <v>39</v>
      </c>
      <c r="C34" s="37" t="s">
        <v>63</v>
      </c>
    </row>
    <row r="35" spans="2:3" ht="16" customHeight="1" x14ac:dyDescent="0.15">
      <c r="B35" s="33"/>
      <c r="C35" s="38"/>
    </row>
    <row r="36" spans="2:3" ht="30" customHeight="1" thickBot="1" x14ac:dyDescent="0.2">
      <c r="B36" s="39" t="s">
        <v>46</v>
      </c>
      <c r="C36" s="40">
        <f>C30/(C31-C32)</f>
        <v>400</v>
      </c>
    </row>
    <row r="38" spans="2:3" ht="30" customHeight="1" thickBot="1" x14ac:dyDescent="0.2"/>
    <row r="39" spans="2:3" ht="30" customHeight="1" x14ac:dyDescent="0.15">
      <c r="B39" s="133" t="s">
        <v>47</v>
      </c>
      <c r="C39" s="134"/>
    </row>
    <row r="40" spans="2:3" ht="30" customHeight="1" x14ac:dyDescent="0.15">
      <c r="B40" s="32" t="s">
        <v>48</v>
      </c>
      <c r="C40" s="42">
        <v>3</v>
      </c>
    </row>
    <row r="41" spans="2:3" ht="30" customHeight="1" x14ac:dyDescent="0.15">
      <c r="B41" s="32" t="s">
        <v>50</v>
      </c>
      <c r="C41" s="42">
        <v>10</v>
      </c>
    </row>
    <row r="42" spans="2:3" ht="30" customHeight="1" x14ac:dyDescent="0.15">
      <c r="B42" s="32" t="s">
        <v>59</v>
      </c>
      <c r="C42" s="42">
        <v>295</v>
      </c>
    </row>
    <row r="43" spans="2:3" ht="29" customHeight="1" x14ac:dyDescent="0.15">
      <c r="B43" s="32" t="s">
        <v>49</v>
      </c>
      <c r="C43" s="42">
        <v>15</v>
      </c>
    </row>
    <row r="44" spans="2:3" ht="14" customHeight="1" x14ac:dyDescent="0.15">
      <c r="B44" s="33"/>
      <c r="C44" s="36"/>
    </row>
    <row r="45" spans="2:3" ht="30" customHeight="1" x14ac:dyDescent="0.15">
      <c r="B45" s="50" t="s">
        <v>53</v>
      </c>
      <c r="C45" s="51">
        <f>(C43*C40)-(C41*C40)</f>
        <v>15</v>
      </c>
    </row>
    <row r="46" spans="2:3" ht="27" customHeight="1" x14ac:dyDescent="0.15">
      <c r="B46" s="46" t="s">
        <v>39</v>
      </c>
      <c r="C46" s="45" t="s">
        <v>57</v>
      </c>
    </row>
    <row r="47" spans="2:3" ht="13" customHeight="1" x14ac:dyDescent="0.15">
      <c r="B47" s="33"/>
      <c r="C47" s="36"/>
    </row>
    <row r="48" spans="2:3" ht="30" customHeight="1" x14ac:dyDescent="0.15">
      <c r="B48" s="50" t="s">
        <v>54</v>
      </c>
      <c r="C48" s="51">
        <f>(C41*C40)+C45</f>
        <v>45</v>
      </c>
    </row>
    <row r="49" spans="2:6" ht="27" customHeight="1" x14ac:dyDescent="0.15">
      <c r="B49" s="46" t="s">
        <v>39</v>
      </c>
      <c r="C49" s="45" t="s">
        <v>58</v>
      </c>
    </row>
    <row r="50" spans="2:6" ht="15" customHeight="1" x14ac:dyDescent="0.15">
      <c r="B50" s="33"/>
      <c r="C50" s="38"/>
    </row>
    <row r="51" spans="2:6" ht="30" customHeight="1" x14ac:dyDescent="0.15">
      <c r="B51" s="43" t="s">
        <v>55</v>
      </c>
      <c r="C51" s="49">
        <f>C42+C45</f>
        <v>310</v>
      </c>
    </row>
    <row r="52" spans="2:6" ht="30" customHeight="1" thickBot="1" x14ac:dyDescent="0.2">
      <c r="B52" s="47" t="s">
        <v>39</v>
      </c>
      <c r="C52" s="48" t="s">
        <v>56</v>
      </c>
    </row>
    <row r="53" spans="2:6" ht="30" customHeight="1" x14ac:dyDescent="0.15">
      <c r="B53" s="7"/>
      <c r="C53" s="7"/>
      <c r="D53" s="31"/>
      <c r="E53" s="3"/>
      <c r="F53" s="3"/>
    </row>
    <row r="54" spans="2:6" ht="30" customHeight="1" thickBot="1" x14ac:dyDescent="0.2">
      <c r="B54" s="7"/>
      <c r="C54" s="7"/>
      <c r="D54" s="31"/>
      <c r="E54" s="3"/>
      <c r="F54" s="3"/>
    </row>
    <row r="55" spans="2:6" ht="30" customHeight="1" x14ac:dyDescent="0.15">
      <c r="B55" s="135" t="s">
        <v>65</v>
      </c>
      <c r="C55" s="136"/>
    </row>
    <row r="56" spans="2:6" ht="30" customHeight="1" x14ac:dyDescent="0.15">
      <c r="B56" s="32" t="s">
        <v>51</v>
      </c>
      <c r="C56" s="34">
        <v>3</v>
      </c>
    </row>
    <row r="57" spans="2:6" ht="30" customHeight="1" x14ac:dyDescent="0.15">
      <c r="B57" s="32" t="s">
        <v>37</v>
      </c>
      <c r="C57" s="41">
        <v>1.2</v>
      </c>
    </row>
    <row r="58" spans="2:6" ht="30" customHeight="1" x14ac:dyDescent="0.15">
      <c r="B58" s="32" t="s">
        <v>66</v>
      </c>
      <c r="C58" s="42">
        <v>50</v>
      </c>
    </row>
    <row r="59" spans="2:6" ht="13" customHeight="1" x14ac:dyDescent="0.15">
      <c r="B59" s="33"/>
      <c r="C59" s="36"/>
    </row>
    <row r="60" spans="2:6" ht="30" customHeight="1" x14ac:dyDescent="0.15">
      <c r="B60" s="44" t="s">
        <v>39</v>
      </c>
      <c r="C60" s="37" t="s">
        <v>67</v>
      </c>
    </row>
    <row r="61" spans="2:6" ht="15" customHeight="1" x14ac:dyDescent="0.15">
      <c r="B61" s="33"/>
      <c r="C61" s="38"/>
    </row>
    <row r="62" spans="2:6" ht="30" customHeight="1" thickBot="1" x14ac:dyDescent="0.2">
      <c r="B62" s="39" t="s">
        <v>73</v>
      </c>
      <c r="C62" s="40">
        <f>(C56-C57)*C58</f>
        <v>90</v>
      </c>
    </row>
    <row r="64" spans="2:6" ht="30" customHeight="1" thickBot="1" x14ac:dyDescent="0.2"/>
    <row r="65" spans="2:3" ht="30" customHeight="1" x14ac:dyDescent="0.15">
      <c r="B65" s="123" t="s">
        <v>68</v>
      </c>
      <c r="C65" s="124"/>
    </row>
    <row r="66" spans="2:3" ht="30" customHeight="1" x14ac:dyDescent="0.15">
      <c r="B66" s="32" t="s">
        <v>69</v>
      </c>
      <c r="C66" s="34">
        <v>150</v>
      </c>
    </row>
    <row r="67" spans="2:3" ht="30" customHeight="1" x14ac:dyDescent="0.15">
      <c r="B67" s="32" t="s">
        <v>70</v>
      </c>
      <c r="C67" s="41">
        <v>500</v>
      </c>
    </row>
    <row r="68" spans="2:3" ht="16" customHeight="1" x14ac:dyDescent="0.15">
      <c r="B68" s="33"/>
      <c r="C68" s="36"/>
    </row>
    <row r="69" spans="2:3" ht="30" customHeight="1" x14ac:dyDescent="0.15">
      <c r="B69" s="44" t="s">
        <v>39</v>
      </c>
      <c r="C69" s="37" t="s">
        <v>71</v>
      </c>
    </row>
    <row r="70" spans="2:3" ht="13" customHeight="1" x14ac:dyDescent="0.15">
      <c r="B70" s="33"/>
      <c r="C70" s="38"/>
    </row>
    <row r="71" spans="2:3" ht="30" customHeight="1" thickBot="1" x14ac:dyDescent="0.2">
      <c r="B71" s="39" t="s">
        <v>72</v>
      </c>
      <c r="C71" s="40">
        <f>(C66/C67)*100</f>
        <v>30</v>
      </c>
    </row>
    <row r="73" spans="2:3" ht="30" customHeight="1" thickBot="1" x14ac:dyDescent="0.2"/>
    <row r="74" spans="2:3" ht="30" customHeight="1" x14ac:dyDescent="0.15">
      <c r="B74" s="125" t="s">
        <v>74</v>
      </c>
      <c r="C74" s="126"/>
    </row>
    <row r="75" spans="2:3" ht="30" customHeight="1" x14ac:dyDescent="0.15">
      <c r="B75" s="32" t="s">
        <v>75</v>
      </c>
      <c r="C75" s="34">
        <v>2000</v>
      </c>
    </row>
    <row r="76" spans="2:3" ht="30" customHeight="1" x14ac:dyDescent="0.15">
      <c r="B76" s="32" t="s">
        <v>76</v>
      </c>
      <c r="C76" s="41">
        <v>1400</v>
      </c>
    </row>
    <row r="77" spans="2:3" ht="30" customHeight="1" x14ac:dyDescent="0.15">
      <c r="B77" s="33"/>
      <c r="C77" s="36"/>
    </row>
    <row r="78" spans="2:3" ht="30" customHeight="1" x14ac:dyDescent="0.15">
      <c r="B78" s="44" t="s">
        <v>39</v>
      </c>
      <c r="C78" s="37" t="s">
        <v>77</v>
      </c>
    </row>
    <row r="79" spans="2:3" ht="30" customHeight="1" x14ac:dyDescent="0.15">
      <c r="B79" s="33"/>
      <c r="C79" s="38"/>
    </row>
    <row r="80" spans="2:3" ht="30" customHeight="1" thickBot="1" x14ac:dyDescent="0.2">
      <c r="B80" s="39" t="s">
        <v>72</v>
      </c>
      <c r="C80" s="40">
        <f>(C75-C76)/C75*100</f>
        <v>30</v>
      </c>
    </row>
  </sheetData>
  <mergeCells count="8">
    <mergeCell ref="B65:C65"/>
    <mergeCell ref="B74:C74"/>
    <mergeCell ref="B2:C2"/>
    <mergeCell ref="B20:C20"/>
    <mergeCell ref="B29:C29"/>
    <mergeCell ref="B39:C39"/>
    <mergeCell ref="B55:C55"/>
    <mergeCell ref="B11:C1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00DAF-42E4-AC4A-9206-505D27133D9C}">
  <dimension ref="A1:Q48"/>
  <sheetViews>
    <sheetView zoomScale="59" zoomScaleNormal="68" workbookViewId="0">
      <selection activeCell="G21" sqref="G21"/>
    </sheetView>
  </sheetViews>
  <sheetFormatPr baseColWidth="10" defaultRowHeight="14" x14ac:dyDescent="0.15"/>
  <cols>
    <col min="1" max="1" width="21" customWidth="1"/>
    <col min="2" max="2" width="12" customWidth="1"/>
    <col min="6" max="6" width="21" customWidth="1"/>
    <col min="7" max="7" width="14.1640625" customWidth="1"/>
    <col min="8" max="8" width="13.6640625" customWidth="1"/>
  </cols>
  <sheetData>
    <row r="1" spans="1:9" x14ac:dyDescent="0.15">
      <c r="A1" s="122" t="s">
        <v>93</v>
      </c>
      <c r="B1" s="121" t="s">
        <v>92</v>
      </c>
      <c r="C1" s="121" t="s">
        <v>91</v>
      </c>
      <c r="D1" s="139"/>
      <c r="E1" s="139"/>
      <c r="F1" s="139"/>
      <c r="G1" s="139"/>
      <c r="H1" s="139"/>
      <c r="I1" s="139"/>
    </row>
    <row r="2" spans="1:9" x14ac:dyDescent="0.15">
      <c r="A2" s="121" t="str">
        <f>Summary!B6</f>
        <v>Glazed Donut</v>
      </c>
      <c r="B2" s="121">
        <f>Summary!J6</f>
        <v>47.160000000000004</v>
      </c>
      <c r="C2" s="121"/>
      <c r="D2" s="121"/>
      <c r="E2" s="121"/>
      <c r="F2" s="121"/>
      <c r="G2" s="139"/>
      <c r="H2" s="139"/>
      <c r="I2" s="139"/>
    </row>
    <row r="3" spans="1:9" x14ac:dyDescent="0.15">
      <c r="A3" s="121" t="str">
        <f>Summary!B7</f>
        <v>Vanilla Sprinkles Donut</v>
      </c>
      <c r="B3" s="121">
        <f>Summary!J7</f>
        <v>49.42</v>
      </c>
      <c r="C3" s="121"/>
      <c r="D3" s="121"/>
      <c r="E3" s="121"/>
      <c r="F3" s="121"/>
      <c r="G3" s="139"/>
      <c r="H3" s="139"/>
      <c r="I3" s="139"/>
    </row>
    <row r="4" spans="1:9" x14ac:dyDescent="0.15">
      <c r="A4" s="121" t="str">
        <f>Summary!B8</f>
        <v>Pumpkin Donut</v>
      </c>
      <c r="B4" s="121">
        <f>Summary!J8</f>
        <v>46.800000000000004</v>
      </c>
      <c r="C4" s="121"/>
      <c r="D4" s="121"/>
      <c r="E4" s="121"/>
      <c r="F4" s="121"/>
      <c r="G4" s="139"/>
      <c r="H4" s="139"/>
      <c r="I4" s="139"/>
    </row>
    <row r="5" spans="1:9" x14ac:dyDescent="0.15">
      <c r="A5" s="121" t="str">
        <f>Summary!B9</f>
        <v>Water</v>
      </c>
      <c r="B5" s="121">
        <f>Summary!J9</f>
        <v>35.400000000000006</v>
      </c>
      <c r="C5" s="121"/>
      <c r="D5" s="121"/>
      <c r="E5" s="121"/>
      <c r="F5" s="121"/>
      <c r="G5" s="139"/>
      <c r="H5" s="139"/>
      <c r="I5" s="139"/>
    </row>
    <row r="6" spans="1:9" x14ac:dyDescent="0.15">
      <c r="A6" s="121" t="str">
        <f>Summary!B10</f>
        <v>-</v>
      </c>
      <c r="B6" s="121" t="str">
        <f>Summary!J10</f>
        <v>-</v>
      </c>
      <c r="C6" s="121"/>
      <c r="D6" s="121"/>
      <c r="E6" s="121"/>
      <c r="F6" s="121"/>
      <c r="G6" s="139"/>
      <c r="H6" s="139"/>
      <c r="I6" s="139"/>
    </row>
    <row r="7" spans="1:9" x14ac:dyDescent="0.15">
      <c r="A7" s="121" t="str">
        <f>Summary!B11</f>
        <v>-</v>
      </c>
      <c r="B7" s="121" t="str">
        <f>Summary!J11</f>
        <v>-</v>
      </c>
      <c r="C7" s="121"/>
      <c r="D7" s="121"/>
      <c r="E7" s="121"/>
      <c r="F7" s="121"/>
      <c r="G7" s="139"/>
      <c r="H7" s="139"/>
      <c r="I7" s="139"/>
    </row>
    <row r="8" spans="1:9" x14ac:dyDescent="0.15">
      <c r="A8" s="121" t="str">
        <f>Summary!B12</f>
        <v>-</v>
      </c>
      <c r="B8" s="121" t="str">
        <f>Summary!J12</f>
        <v>-</v>
      </c>
      <c r="C8" s="121"/>
      <c r="D8" s="121"/>
      <c r="E8" s="121"/>
      <c r="F8" s="121"/>
      <c r="G8" s="139"/>
      <c r="H8" s="139"/>
      <c r="I8" s="139"/>
    </row>
    <row r="9" spans="1:9" x14ac:dyDescent="0.15">
      <c r="A9" s="121" t="str">
        <f>Summary!B13</f>
        <v>-</v>
      </c>
      <c r="B9" s="121" t="str">
        <f>Summary!J13</f>
        <v>-</v>
      </c>
      <c r="C9" s="121"/>
      <c r="D9" s="121"/>
      <c r="E9" s="121"/>
      <c r="F9" s="121"/>
      <c r="G9" s="139"/>
      <c r="H9" s="139"/>
      <c r="I9" s="139"/>
    </row>
    <row r="10" spans="1:9" x14ac:dyDescent="0.15">
      <c r="A10" s="121" t="str">
        <f>Summary!B14</f>
        <v>-</v>
      </c>
      <c r="B10" s="121" t="str">
        <f>Summary!J14</f>
        <v>-</v>
      </c>
      <c r="C10" s="121"/>
      <c r="D10" s="121"/>
      <c r="E10" s="121"/>
      <c r="F10" s="121"/>
      <c r="G10" s="139"/>
      <c r="H10" s="139"/>
      <c r="I10" s="139"/>
    </row>
    <row r="11" spans="1:9" x14ac:dyDescent="0.15">
      <c r="A11" s="121" t="str">
        <f>Summary!B15</f>
        <v>-</v>
      </c>
      <c r="B11" s="121" t="str">
        <f>Summary!J15</f>
        <v>-</v>
      </c>
      <c r="C11" s="121"/>
      <c r="D11" s="121"/>
      <c r="E11" s="121"/>
      <c r="F11" s="121"/>
      <c r="G11" s="139"/>
      <c r="H11" s="139"/>
      <c r="I11" s="139"/>
    </row>
    <row r="12" spans="1:9" x14ac:dyDescent="0.15">
      <c r="A12" s="121" t="str">
        <f>Summary!B16</f>
        <v>-</v>
      </c>
      <c r="B12" s="121" t="str">
        <f>Summary!J16</f>
        <v>-</v>
      </c>
      <c r="C12" s="121"/>
      <c r="D12" s="121"/>
      <c r="E12" s="121"/>
      <c r="F12" s="121"/>
      <c r="G12" s="139"/>
      <c r="H12" s="139"/>
      <c r="I12" s="139"/>
    </row>
    <row r="13" spans="1:9" x14ac:dyDescent="0.15">
      <c r="A13" s="121" t="str">
        <f>Summary!B6</f>
        <v>Glazed Donut</v>
      </c>
      <c r="B13" s="121">
        <f>Summary!K6</f>
        <v>15.72</v>
      </c>
      <c r="C13" s="121"/>
      <c r="D13" s="121"/>
      <c r="E13" s="121"/>
      <c r="F13" s="121"/>
      <c r="G13" s="139"/>
      <c r="H13" s="139"/>
      <c r="I13" s="139"/>
    </row>
    <row r="14" spans="1:9" x14ac:dyDescent="0.15">
      <c r="A14" s="121" t="str">
        <f>Summary!B7</f>
        <v>Vanilla Sprinkles Donut</v>
      </c>
      <c r="B14" s="121">
        <f>Summary!K7</f>
        <v>24.71</v>
      </c>
      <c r="C14" s="121"/>
      <c r="D14" s="121"/>
      <c r="E14" s="121"/>
      <c r="F14" s="121"/>
      <c r="G14" s="139"/>
      <c r="H14" s="139"/>
      <c r="I14" s="139"/>
    </row>
    <row r="15" spans="1:9" x14ac:dyDescent="0.15">
      <c r="A15" s="121" t="str">
        <f>Summary!B8</f>
        <v>Pumpkin Donut</v>
      </c>
      <c r="B15" s="121">
        <f>Summary!K8</f>
        <v>0</v>
      </c>
      <c r="C15" s="121"/>
      <c r="D15" s="121"/>
      <c r="E15" s="121"/>
      <c r="F15" s="121"/>
      <c r="G15" s="139"/>
      <c r="H15" s="139"/>
      <c r="I15" s="139"/>
    </row>
    <row r="16" spans="1:9" x14ac:dyDescent="0.15">
      <c r="A16" s="121" t="str">
        <f>Summary!B9</f>
        <v>Water</v>
      </c>
      <c r="B16" s="121">
        <f>Summary!K9</f>
        <v>0</v>
      </c>
      <c r="C16" s="121"/>
      <c r="D16" s="121"/>
      <c r="E16" s="121"/>
      <c r="F16" s="121"/>
      <c r="G16" s="139"/>
      <c r="H16" s="139"/>
      <c r="I16" s="139"/>
    </row>
    <row r="17" spans="1:17" x14ac:dyDescent="0.15">
      <c r="A17" s="121" t="str">
        <f>Summary!B10</f>
        <v>-</v>
      </c>
      <c r="B17" s="121" t="str">
        <f>Summary!K10</f>
        <v>-</v>
      </c>
      <c r="C17" s="121"/>
      <c r="D17" s="121"/>
      <c r="E17" s="121"/>
      <c r="F17" s="121"/>
      <c r="G17" s="139"/>
      <c r="H17" s="139"/>
      <c r="I17" s="139"/>
    </row>
    <row r="18" spans="1:17" x14ac:dyDescent="0.15">
      <c r="A18" s="121" t="str">
        <f>Summary!B11</f>
        <v>-</v>
      </c>
      <c r="B18" s="121" t="str">
        <f>Summary!K11</f>
        <v>-</v>
      </c>
      <c r="C18" s="121"/>
      <c r="D18" s="121"/>
      <c r="E18" s="121"/>
      <c r="F18" s="121"/>
      <c r="G18" s="139"/>
      <c r="H18" s="139"/>
      <c r="I18" s="139"/>
    </row>
    <row r="19" spans="1:17" x14ac:dyDescent="0.15">
      <c r="A19" s="121" t="str">
        <f>Summary!B12</f>
        <v>-</v>
      </c>
      <c r="B19" s="121" t="str">
        <f>Summary!K12</f>
        <v>-</v>
      </c>
      <c r="C19" s="121"/>
      <c r="D19" s="121"/>
      <c r="E19" s="121"/>
      <c r="F19" s="121"/>
      <c r="G19" s="139"/>
      <c r="H19" s="139"/>
      <c r="I19" s="139"/>
    </row>
    <row r="20" spans="1:17" x14ac:dyDescent="0.15">
      <c r="A20" s="121" t="str">
        <f>Summary!B13</f>
        <v>-</v>
      </c>
      <c r="B20" s="121" t="str">
        <f>Summary!K13</f>
        <v>-</v>
      </c>
      <c r="C20" s="121"/>
      <c r="D20" s="121"/>
      <c r="E20" s="121"/>
      <c r="F20" s="121"/>
      <c r="G20" s="139"/>
      <c r="H20" s="139"/>
      <c r="I20" s="139"/>
    </row>
    <row r="21" spans="1:17" x14ac:dyDescent="0.15">
      <c r="A21" s="121" t="str">
        <f>Summary!B14</f>
        <v>-</v>
      </c>
      <c r="B21" s="121" t="str">
        <f>Summary!K14</f>
        <v>-</v>
      </c>
      <c r="C21" s="121"/>
      <c r="D21" s="121"/>
      <c r="E21" s="121"/>
      <c r="F21" s="121"/>
      <c r="G21" s="139"/>
      <c r="H21" s="139"/>
      <c r="I21" s="139"/>
    </row>
    <row r="22" spans="1:17" x14ac:dyDescent="0.15">
      <c r="A22" s="121" t="str">
        <f>Summary!B15</f>
        <v>-</v>
      </c>
      <c r="B22" s="121" t="str">
        <f>Summary!K15</f>
        <v>-</v>
      </c>
      <c r="C22" s="121"/>
      <c r="D22" s="121"/>
      <c r="E22" s="121"/>
      <c r="F22" s="121"/>
      <c r="G22" s="139"/>
      <c r="H22" s="139"/>
      <c r="I22" s="139"/>
    </row>
    <row r="23" spans="1:17" x14ac:dyDescent="0.15">
      <c r="A23" s="121" t="str">
        <f>Summary!B16</f>
        <v>-</v>
      </c>
      <c r="B23" s="121" t="str">
        <f>Summary!K16</f>
        <v>-</v>
      </c>
      <c r="C23" s="121"/>
      <c r="D23" s="121"/>
      <c r="E23" s="121"/>
      <c r="F23" s="121"/>
      <c r="G23" s="139"/>
      <c r="H23" s="139"/>
      <c r="I23" s="139"/>
    </row>
    <row r="24" spans="1:17" x14ac:dyDescent="0.15">
      <c r="A24" s="121" t="s">
        <v>7</v>
      </c>
      <c r="B24" s="121" t="s">
        <v>78</v>
      </c>
      <c r="C24" s="121">
        <f>Summary!J17</f>
        <v>178.78000000000003</v>
      </c>
      <c r="D24" s="121"/>
      <c r="E24" s="121"/>
      <c r="F24" s="121"/>
      <c r="G24" s="139"/>
      <c r="H24" s="139"/>
      <c r="I24" s="139"/>
    </row>
    <row r="25" spans="1:17" x14ac:dyDescent="0.15">
      <c r="A25" s="121" t="s">
        <v>6</v>
      </c>
      <c r="B25" s="121" t="s">
        <v>78</v>
      </c>
      <c r="C25" s="121">
        <f>Summary!K17</f>
        <v>40.43</v>
      </c>
      <c r="D25" s="121"/>
      <c r="E25" s="121"/>
      <c r="F25" s="121"/>
      <c r="G25" s="139"/>
      <c r="H25" s="139"/>
      <c r="I25" s="139"/>
    </row>
    <row r="26" spans="1:17" x14ac:dyDescent="0.15">
      <c r="A26" s="121"/>
      <c r="B26" s="121"/>
      <c r="C26" s="121"/>
      <c r="D26" s="121"/>
      <c r="E26" s="121"/>
      <c r="F26" s="121"/>
      <c r="G26" s="139"/>
      <c r="H26" s="139"/>
      <c r="I26" s="139"/>
    </row>
    <row r="27" spans="1:17" x14ac:dyDescent="0.15">
      <c r="A27" s="121"/>
      <c r="B27" s="121"/>
      <c r="C27" s="121"/>
      <c r="D27" s="121"/>
      <c r="E27" s="121"/>
      <c r="F27" s="121"/>
      <c r="G27" s="139"/>
      <c r="H27" s="139"/>
      <c r="I27" s="139"/>
    </row>
    <row r="28" spans="1:17" x14ac:dyDescent="0.15">
      <c r="A28" s="121"/>
      <c r="B28" s="121"/>
      <c r="C28" s="121"/>
      <c r="D28" s="121"/>
      <c r="E28" s="121"/>
      <c r="F28" s="121"/>
      <c r="G28" s="139"/>
      <c r="H28" s="139"/>
      <c r="I28" s="139"/>
    </row>
    <row r="29" spans="1:17" x14ac:dyDescent="0.15">
      <c r="A29" s="121"/>
      <c r="B29" s="121"/>
      <c r="C29" s="121"/>
      <c r="D29" s="121"/>
      <c r="E29" s="121"/>
      <c r="F29" s="121"/>
      <c r="G29" s="139"/>
      <c r="H29" s="139"/>
      <c r="I29" s="139"/>
    </row>
    <row r="30" spans="1:17" x14ac:dyDescent="0.15">
      <c r="A30" s="121"/>
      <c r="B30" s="121"/>
      <c r="C30" s="121"/>
      <c r="D30" s="121"/>
      <c r="E30" s="121"/>
      <c r="F30" s="121"/>
      <c r="G30" s="139"/>
      <c r="H30" s="139"/>
      <c r="I30" s="139"/>
    </row>
    <row r="31" spans="1:17" x14ac:dyDescent="0.15">
      <c r="A31" s="121"/>
      <c r="B31" s="121"/>
      <c r="C31" s="121"/>
      <c r="D31" s="121"/>
      <c r="E31" s="121"/>
      <c r="F31" s="121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</row>
    <row r="32" spans="1:17" x14ac:dyDescent="0.15">
      <c r="A32" s="121" t="s">
        <v>94</v>
      </c>
      <c r="B32" s="121" t="s">
        <v>85</v>
      </c>
      <c r="C32" s="121" t="s">
        <v>86</v>
      </c>
      <c r="D32" s="121"/>
      <c r="E32" s="121"/>
      <c r="F32" s="121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</row>
    <row r="33" spans="1:17" x14ac:dyDescent="0.15">
      <c r="A33" s="121" t="s">
        <v>9</v>
      </c>
      <c r="B33" s="140">
        <v>0.26378789573777828</v>
      </c>
      <c r="C33" s="140">
        <v>0.38882018303240168</v>
      </c>
      <c r="D33" s="121"/>
      <c r="E33" s="121"/>
      <c r="F33" s="121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</row>
    <row r="34" spans="1:17" x14ac:dyDescent="0.15">
      <c r="A34" s="121" t="s">
        <v>10</v>
      </c>
      <c r="B34" s="140">
        <v>0.27642913077525444</v>
      </c>
      <c r="C34" s="140">
        <v>0.61117981696759838</v>
      </c>
      <c r="D34" s="121"/>
      <c r="E34" s="121"/>
      <c r="F34" s="121"/>
      <c r="G34" s="139"/>
      <c r="H34" s="139"/>
      <c r="I34" s="139"/>
    </row>
    <row r="35" spans="1:17" x14ac:dyDescent="0.15">
      <c r="A35" s="121" t="s">
        <v>11</v>
      </c>
      <c r="B35" s="140">
        <v>0.26177424767871127</v>
      </c>
      <c r="C35" s="140">
        <v>0</v>
      </c>
      <c r="D35" s="121"/>
      <c r="E35" s="121"/>
      <c r="F35" s="121"/>
      <c r="G35" s="139"/>
      <c r="H35" s="139"/>
      <c r="I35" s="139"/>
    </row>
    <row r="36" spans="1:17" x14ac:dyDescent="0.15">
      <c r="A36" s="121" t="s">
        <v>22</v>
      </c>
      <c r="B36" s="140">
        <v>0.19800872580825596</v>
      </c>
      <c r="C36" s="140">
        <v>0</v>
      </c>
      <c r="D36" s="121"/>
      <c r="E36" s="121"/>
      <c r="F36" s="121"/>
      <c r="G36" s="139"/>
      <c r="H36" s="139"/>
      <c r="I36" s="139"/>
    </row>
    <row r="37" spans="1:17" x14ac:dyDescent="0.15">
      <c r="A37" s="121" t="s">
        <v>78</v>
      </c>
      <c r="B37" s="140">
        <v>0</v>
      </c>
      <c r="C37" s="140">
        <v>0</v>
      </c>
      <c r="D37" s="121"/>
      <c r="E37" s="121"/>
      <c r="F37" s="121"/>
    </row>
    <row r="38" spans="1:17" x14ac:dyDescent="0.15">
      <c r="A38" s="121" t="s">
        <v>78</v>
      </c>
      <c r="B38" s="140">
        <v>0</v>
      </c>
      <c r="C38" s="140">
        <v>0</v>
      </c>
      <c r="D38" s="121"/>
      <c r="E38" s="121"/>
      <c r="F38" s="121"/>
    </row>
    <row r="39" spans="1:17" x14ac:dyDescent="0.15">
      <c r="A39" s="121" t="s">
        <v>78</v>
      </c>
      <c r="B39" s="140">
        <v>0</v>
      </c>
      <c r="C39" s="140">
        <v>0</v>
      </c>
      <c r="D39" s="121"/>
      <c r="E39" s="121"/>
      <c r="F39" s="121"/>
    </row>
    <row r="40" spans="1:17" x14ac:dyDescent="0.15">
      <c r="A40" s="121" t="s">
        <v>78</v>
      </c>
      <c r="B40" s="140">
        <v>0</v>
      </c>
      <c r="C40" s="140">
        <v>0</v>
      </c>
      <c r="D40" s="121"/>
      <c r="E40" s="121"/>
      <c r="F40" s="121"/>
    </row>
    <row r="41" spans="1:17" x14ac:dyDescent="0.15">
      <c r="A41" s="121" t="s">
        <v>78</v>
      </c>
      <c r="B41" s="140">
        <v>0</v>
      </c>
      <c r="C41" s="140">
        <v>0</v>
      </c>
      <c r="D41" s="121"/>
      <c r="E41" s="121"/>
      <c r="F41" s="121"/>
    </row>
    <row r="42" spans="1:17" x14ac:dyDescent="0.15">
      <c r="A42" s="121" t="s">
        <v>78</v>
      </c>
      <c r="B42" s="140">
        <v>0</v>
      </c>
      <c r="C42" s="140">
        <v>0</v>
      </c>
      <c r="D42" s="121"/>
      <c r="E42" s="121"/>
      <c r="F42" s="121"/>
    </row>
    <row r="43" spans="1:17" x14ac:dyDescent="0.15">
      <c r="A43" s="121" t="s">
        <v>78</v>
      </c>
      <c r="B43" s="140">
        <v>0</v>
      </c>
      <c r="C43" s="140">
        <v>0</v>
      </c>
      <c r="D43" s="121"/>
      <c r="E43" s="121"/>
      <c r="F43" s="121"/>
    </row>
    <row r="44" spans="1:17" x14ac:dyDescent="0.15">
      <c r="A44" s="121"/>
      <c r="B44" s="121"/>
      <c r="C44" s="121"/>
      <c r="D44" s="121"/>
      <c r="E44" s="121"/>
      <c r="F44" s="121"/>
    </row>
    <row r="45" spans="1:17" x14ac:dyDescent="0.15">
      <c r="A45" s="121"/>
      <c r="B45" s="121"/>
      <c r="C45" s="121"/>
      <c r="D45" s="121"/>
      <c r="E45" s="121"/>
      <c r="F45" s="121"/>
    </row>
    <row r="46" spans="1:17" x14ac:dyDescent="0.15">
      <c r="A46" s="121"/>
      <c r="B46" s="121"/>
      <c r="C46" s="121"/>
      <c r="D46" s="121"/>
      <c r="E46" s="121"/>
      <c r="F46" s="121"/>
    </row>
    <row r="47" spans="1:17" x14ac:dyDescent="0.15">
      <c r="A47" s="121"/>
      <c r="B47" s="121"/>
      <c r="C47" s="121"/>
      <c r="D47" s="121"/>
      <c r="E47" s="121"/>
      <c r="F47" s="121"/>
    </row>
    <row r="48" spans="1:17" x14ac:dyDescent="0.15">
      <c r="A48" s="121"/>
      <c r="B48" s="121"/>
      <c r="C48" s="121"/>
      <c r="D48" s="121"/>
      <c r="E48" s="121"/>
      <c r="F48" s="1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&gt;&gt;&gt;&gt;&gt;</vt:lpstr>
      <vt:lpstr>Sales Log</vt:lpstr>
      <vt:lpstr>Expenses Log(ONLY MAJOR)</vt:lpstr>
      <vt:lpstr>Product List</vt:lpstr>
      <vt:lpstr>Calculators</vt:lpstr>
      <vt:lpstr>Technical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Shymkiv</dc:creator>
  <cp:lastModifiedBy>Alex Shymkiv</cp:lastModifiedBy>
  <dcterms:created xsi:type="dcterms:W3CDTF">2025-08-22T21:54:34Z</dcterms:created>
  <dcterms:modified xsi:type="dcterms:W3CDTF">2025-10-06T19:37:22Z</dcterms:modified>
</cp:coreProperties>
</file>