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codeName="ThisWorkbook" defaultThemeVersion="124226"/>
  <mc:AlternateContent xmlns:mc="http://schemas.openxmlformats.org/markup-compatibility/2006">
    <mc:Choice Requires="x15">
      <x15ac:absPath xmlns:x15ac="http://schemas.microsoft.com/office/spreadsheetml/2010/11/ac" url="/Users/alexshymkiv/Downloads/"/>
    </mc:Choice>
  </mc:AlternateContent>
  <xr:revisionPtr revIDLastSave="0" documentId="8_{E3132532-9CAE-EB4B-B7B8-D84B6443F1BB}" xr6:coauthVersionLast="47" xr6:coauthVersionMax="47" xr10:uidLastSave="{00000000-0000-0000-0000-000000000000}"/>
  <bookViews>
    <workbookView xWindow="0" yWindow="740" windowWidth="23260" windowHeight="12580" tabRatio="923" firstSheet="21" activeTab="30" xr2:uid="{00000000-000D-0000-FFFF-FFFF00000000}"/>
  </bookViews>
  <sheets>
    <sheet name="SHORTCUTS&gt;&gt;" sheetId="166" r:id="rId1"/>
    <sheet name="NAVIGATION" sheetId="155" r:id="rId2"/>
    <sheet name="SELECTING" sheetId="156" r:id="rId3"/>
    <sheet name="INSERTING&amp;DELETING" sheetId="157" r:id="rId4"/>
    <sheet name="COPYING&amp;PASTING" sheetId="158" r:id="rId5"/>
    <sheet name="keys" sheetId="163" state="hidden" r:id="rId6"/>
    <sheet name="FORMATTING" sheetId="182" r:id="rId7"/>
    <sheet name="FORMULAS&gt;&gt;" sheetId="167" r:id="rId8"/>
    <sheet name="Function_List" sheetId="181" r:id="rId9"/>
    <sheet name=" Brackets in formula" sheetId="4" r:id="rId10"/>
    <sheet name=" AutoSum Shortcut Key" sheetId="6" r:id="rId11"/>
    <sheet name="SUM" sheetId="131" r:id="rId12"/>
    <sheet name="SUM_as_Running_Total" sheetId="132" r:id="rId13"/>
    <sheet name="MAX_MIN" sheetId="86" r:id="rId14"/>
    <sheet name="IF_and_related" sheetId="62" r:id="rId15"/>
    <sheet name="Dates" sheetId="174" r:id="rId16"/>
    <sheet name="INDEX" sheetId="63" r:id="rId17"/>
    <sheet name="MATCH" sheetId="85" r:id="rId18"/>
    <sheet name="CHOOSE" sheetId="173" r:id="rId19"/>
    <sheet name="COUNT" sheetId="23" r:id="rId20"/>
    <sheet name="COUNTIF(S)" sheetId="26" r:id="rId21"/>
    <sheet name="AVERAGE(IF(S))" sheetId="11" r:id="rId22"/>
    <sheet name="SUMIF(S)" sheetId="134" r:id="rId23"/>
    <sheet name="SUMPRODUCT" sheetId="171" r:id="rId24"/>
    <sheet name="IFERROR" sheetId="69" r:id="rId25"/>
    <sheet name="IFNA" sheetId="170" r:id="rId26"/>
    <sheet name="(X)NPV" sheetId="175" r:id="rId27"/>
    <sheet name="(X)IRR" sheetId="180" r:id="rId28"/>
    <sheet name="PMT_PPMT_IPMT" sheetId="176" r:id="rId29"/>
    <sheet name="AUDITING &gt;&gt;" sheetId="179" r:id="rId30"/>
    <sheet name="Formula_Auditing" sheetId="177" r:id="rId31"/>
    <sheet name="Formula_Auditing_Data" sheetId="178" r:id="rId32"/>
  </sheets>
  <externalReferences>
    <externalReference r:id="rId33"/>
    <externalReference r:id="rId34"/>
    <externalReference r:id="rId35"/>
    <externalReference r:id="rId36"/>
  </externalReferences>
  <definedNames>
    <definedName name="______________DP6434" hidden="1">{"TOTALDPAK",#N/A,FALSE,"DPAK PRODUCTION";"HADPAK",#N/A,FALSE,"DPAK PRODUCTION";"PSIDPAK",#N/A,FALSE,"DPAK PRODUCTION"}</definedName>
    <definedName name="_______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_______DP6434" hidden="1">{"TOTALDPAK",#N/A,FALSE,"DPAK PRODUCTION";"HADPAK",#N/A,FALSE,"DPAK PRODUCTION";"PSIDPAK",#N/A,FALSE,"DPAK PRODUCTION"}</definedName>
    <definedName name="_____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______DP6434" hidden="1">{"TOTALDPAK",#N/A,FALSE,"DPAK PRODUCTION";"HADPAK",#N/A,FALSE,"DPAK PRODUCTION";"PSIDPAK",#N/A,FALSE,"DPAK PRODUCTION"}</definedName>
    <definedName name="____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_____DP6434" hidden="1">{"TOTALDPAK",#N/A,FALSE,"DPAK PRODUCTION";"HADPAK",#N/A,FALSE,"DPAK PRODUCTION";"PSIDPAK",#N/A,FALSE,"DPAK PRODUCTION"}</definedName>
    <definedName name="___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____DP6434" hidden="1">{"TOTALDPAK",#N/A,FALSE,"DPAK PRODUCTION";"HADPAK",#N/A,FALSE,"DPAK PRODUCTION";"PSIDPAK",#N/A,FALSE,"DPAK PRODUCTION"}</definedName>
    <definedName name="__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__DP6434" hidden="1">{"TOTALDPAK",#N/A,FALSE,"DPAK PRODUCTION";"HADPAK",#N/A,FALSE,"DPAK PRODUCTION";"PSIDPAK",#N/A,FALSE,"DPAK PRODUCTION"}</definedName>
    <definedName name="__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_DP6434" hidden="1">{"TOTALDPAK",#N/A,FALSE,"DPAK PRODUCTION";"HADPAK",#N/A,FALSE,"DPAK PRODUCTION";"PSIDPAK",#N/A,FALSE,"DPAK PRODUCTION"}</definedName>
    <definedName name="_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__DP6434" hidden="1">{"TOTALDPAK",#N/A,FALSE,"DPAK PRODUCTION";"HADPAK",#N/A,FALSE,"DPAK PRODUCTION";"PSIDPAK",#N/A,FALSE,"DPAK PRODUCTION"}</definedName>
    <definedName name="__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__FA26434" hidden="1">{"TOTALFAB",#N/A,FALSE,"WAFER FAB 2 EXPENSE";"FABPRODUCTION",#N/A,FALSE,"WAFER FAB 2 EXPENSE";"FABENGINEERING",#N/A,FALSE,"WAFER FAB 2 EXPENSE";"FABEQUIPSUPPORT",#N/A,FALSE,"WAFER FAB 2 EXPENSE";"FABPRODUCTLINE",#N/A,FALSE,"WAFER FAB 2 EXPENSE";"FABMATERIALS",#N/A,FALSE,"WAFER FAB 2 EXPENSE"}</definedName>
    <definedName name="__DP6434" hidden="1">{"TOTALDPAK",#N/A,FALSE,"DPAK PRODUCTION";"HADPAK",#N/A,FALSE,"DPAK PRODUCTION";"PSIDPAK",#N/A,FALSE,"DPAK PRODUCTION"}</definedName>
    <definedName name="_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_FA26434" hidden="1">{"TOTALFAB",#N/A,FALSE,"WAFER FAB 2 EXPENSE";"FABPRODUCTION",#N/A,FALSE,"WAFER FAB 2 EXPENSE";"FABENGINEERING",#N/A,FALSE,"WAFER FAB 2 EXPENSE";"FABEQUIPSUPPORT",#N/A,FALSE,"WAFER FAB 2 EXPENSE";"FABPRODUCTLINE",#N/A,FALSE,"WAFER FAB 2 EXPENSE";"FABMATERIALS",#N/A,FALSE,"WAFER FAB 2 EXPENSE"}</definedName>
    <definedName name="__FDS_HYPERLINK_TOGGLE_STATE__" hidden="1">"ON"</definedName>
    <definedName name="_cf2" hidden="1">{#N/A,#N/A,FALSE,"Variables";#N/A,#N/A,FALSE,"NPV Cashflows NZ$";#N/A,#N/A,FALSE,"Cashflows NZ$"}</definedName>
    <definedName name="_ddd2" hidden="1">{#N/A,#N/A,FALSE,"Cashflow"}</definedName>
    <definedName name="_DP6434" hidden="1">{"TOTALDPAK",#N/A,FALSE,"DPAK PRODUCTION";"HADPAK",#N/A,FALSE,"DPAK PRODUCTION";"PSIDPAK",#N/A,FALSE,"DPAK PRODUCTION"}</definedName>
    <definedName name="_eee2" hidden="1">{#N/A,#N/A,FALSE,"Cashflow"}</definedName>
    <definedName name="_FA16434"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_FA26434" hidden="1">{"TOTALFAB",#N/A,FALSE,"WAFER FAB 2 EXPENSE";"FABPRODUCTION",#N/A,FALSE,"WAFER FAB 2 EXPENSE";"FABENGINEERING",#N/A,FALSE,"WAFER FAB 2 EXPENSE";"FABEQUIPSUPPORT",#N/A,FALSE,"WAFER FAB 2 EXPENSE";"FABPRODUCTLINE",#N/A,FALSE,"WAFER FAB 2 EXPENSE";"FABMATERIALS",#N/A,FALSE,"WAFER FAB 2 EXPENSE"}</definedName>
    <definedName name="_Key1" localSheetId="27" hidden="1">#REF!</definedName>
    <definedName name="_Key1" localSheetId="29" hidden="1">#REF!</definedName>
    <definedName name="_Key1" localSheetId="6" hidden="1">#REF!</definedName>
    <definedName name="_Key1" localSheetId="30" hidden="1">#REF!</definedName>
    <definedName name="_Key1" localSheetId="31" hidden="1">#REF!</definedName>
    <definedName name="_Key1" hidden="1">#REF!</definedName>
    <definedName name="_Order1" hidden="1">0</definedName>
    <definedName name="_Order2" hidden="1">255</definedName>
    <definedName name="_Regression_Int" hidden="1">1</definedName>
    <definedName name="_table_out" localSheetId="27" hidden="1">#REF!</definedName>
    <definedName name="_table_out" localSheetId="29" hidden="1">#REF!</definedName>
    <definedName name="_table_out" localSheetId="6" hidden="1">#REF!</definedName>
    <definedName name="_table_out" localSheetId="30" hidden="1">#REF!</definedName>
    <definedName name="_table_out" localSheetId="31" hidden="1">#REF!</definedName>
    <definedName name="_table_out" hidden="1">#REF!</definedName>
    <definedName name="_Table2_In1" localSheetId="27" hidden="1">#REF!</definedName>
    <definedName name="_Table2_In1" localSheetId="29" hidden="1">#REF!</definedName>
    <definedName name="_Table2_In1" localSheetId="6" hidden="1">#REF!</definedName>
    <definedName name="_Table2_In1" localSheetId="30" hidden="1">#REF!</definedName>
    <definedName name="_Table2_In1" localSheetId="31" hidden="1">#REF!</definedName>
    <definedName name="_Table2_In1" hidden="1">#REF!</definedName>
    <definedName name="_Table2_In2" localSheetId="27" hidden="1">#REF!</definedName>
    <definedName name="_Table2_In2" localSheetId="29" hidden="1">#REF!</definedName>
    <definedName name="_Table2_In2" localSheetId="6" hidden="1">#REF!</definedName>
    <definedName name="_Table2_In2" localSheetId="30" hidden="1">#REF!</definedName>
    <definedName name="_Table2_In2" localSheetId="31" hidden="1">#REF!</definedName>
    <definedName name="_Table2_In2" hidden="1">#REF!</definedName>
    <definedName name="_Table2_Out" localSheetId="27" hidden="1">#REF!</definedName>
    <definedName name="_Table2_Out" localSheetId="29" hidden="1">#REF!</definedName>
    <definedName name="_Table2_Out" localSheetId="6" hidden="1">#REF!</definedName>
    <definedName name="_Table2_Out" localSheetId="30" hidden="1">#REF!</definedName>
    <definedName name="_Table2_Out" localSheetId="31" hidden="1">#REF!</definedName>
    <definedName name="_Table2_Out" hidden="1">#REF!</definedName>
    <definedName name="_Table3_In2" localSheetId="27" hidden="1">#REF!</definedName>
    <definedName name="_Table3_In2" localSheetId="29" hidden="1">#REF!</definedName>
    <definedName name="_Table3_In2" localSheetId="6" hidden="1">#REF!</definedName>
    <definedName name="_Table3_In2" localSheetId="30" hidden="1">#REF!</definedName>
    <definedName name="_Table3_In2" localSheetId="31" hidden="1">#REF!</definedName>
    <definedName name="_Table3_In2" hidden="1">#REF!</definedName>
    <definedName name="a" localSheetId="27" hidden="1">'[1]Rev Growth Rate'!#REF!</definedName>
    <definedName name="a" localSheetId="26" hidden="1">'[1]Rev Growth Rate'!#REF!</definedName>
    <definedName name="a" localSheetId="29" hidden="1">'[1]Rev Growth Rate'!#REF!</definedName>
    <definedName name="a" localSheetId="18" hidden="1">'[1]Rev Growth Rate'!#REF!</definedName>
    <definedName name="a" localSheetId="15" hidden="1">'[1]Rev Growth Rate'!#REF!</definedName>
    <definedName name="a" localSheetId="6" hidden="1">'[1]Rev Growth Rate'!#REF!</definedName>
    <definedName name="a" localSheetId="7" hidden="1">'[1]Rev Growth Rate'!#REF!</definedName>
    <definedName name="a" localSheetId="25" hidden="1">'[1]Rev Growth Rate'!#REF!</definedName>
    <definedName name="a" localSheetId="28" hidden="1">'[1]Rev Growth Rate'!#REF!</definedName>
    <definedName name="a" localSheetId="23" hidden="1">'[1]Rev Growth Rate'!#REF!</definedName>
    <definedName name="a" hidden="1">'[1]Rev Growth Rate'!#REF!</definedName>
    <definedName name="aa" hidden="1">{"DMS P&amp;L",#N/A,TRUE,"Workbook Contents";"Telstra Restructure Costs Balance Sheet",#N/A,TRUE,"Workbook Contents";"Telstra Restructure Costs Cashflow",#N/A,TRUE,"Workbook Contents";"Telstra Restructure Costs P&amp;L",#N/A,TRUE,"Workbook Contents";"DC Telstra w/. Savings Balance Sheet",#N/A,TRUE,"Workbook Contents";"DC Telstra w/. Savings Cashflow",#N/A,TRUE,"Workbook Contents";"DC Telstra w/. Savings P&amp;L",#N/A,TRUE,"Workbook Contents";"DC Ex Telstra Restructure Costs Balance Sheet",#N/A,TRUE,"Workbook Contents";"DC Ex Telstra Restrucure Costs Cashflow",#N/A,TRUE,"Workbook Contents";"DC Ex Telstra Restructure Costs P&amp;L",#N/A,TRUE,"Workbook Contents";"DC Ex Telstra w/. Savings Balance Sheet",#N/A,TRUE,"Workbook Contents";"DC Ex Telstra w/. Savings Cashflow",#N/A,TRUE,"Workbook Contents";"DC Ex Telstra w/. Savings P&amp;L",#N/A,TRUE,"Workbook Contents";"Combined Balance Sheet",#N/A,TRUE,"Workbook Contents";"Combined Cash Flow",#N/A,TRUE,"Workbook Contents";"Combined P&amp;L",#N/A,TRUE,"Workbook Contents";"Summary",#N/A,TRUE,"Workbook Contents";"DC Cashflow",#N/A,TRUE,"Workbook Contents";"DC Telstra KPI",#N/A,TRUE,"Workbook Contents";"Combined (ex Telstra) KPI",#N/A,TRUE,"Workbook Contents";"DMS KPI",#N/A,TRUE,"Workbook Contents";"DC Ex Telstra KPI",#N/A,TRUE,"Workbook Contents"}</definedName>
    <definedName name="AAA_DOCTOPS" hidden="1">"AAA_SET"</definedName>
    <definedName name="AAA_duser" hidden="1">"OFF"</definedName>
    <definedName name="aaaa" hidden="1">{"TOTALFAB",#N/A,FALSE,"WAFER FAB 2 EXPENSE";"FABPRODUCTION",#N/A,FALSE,"WAFER FAB 2 EXPENSE";"FABENGINEERING",#N/A,FALSE,"WAFER FAB 2 EXPENSE";"FABEQUIPSUPPORT",#N/A,FALSE,"WAFER FAB 2 EXPENSE";"FABPRODUCTLINE",#N/A,FALSE,"WAFER FAB 2 EXPENSE";"FABMATERIALS",#N/A,FALSE,"WAFER FAB 2 EXPENSE"}</definedName>
    <definedName name="AAB_Addin5" hidden="1">"AAB_Description for addin 5,Description for addin 5,Description for addin 5,Description for addin 5,Description for addin 5,Description for addin 5"</definedName>
    <definedName name="anscount" hidden="1">1</definedName>
    <definedName name="b" localSheetId="27" hidden="1">'[1]Rev Growth Rate'!#REF!</definedName>
    <definedName name="b" localSheetId="26" hidden="1">'[1]Rev Growth Rate'!#REF!</definedName>
    <definedName name="b" localSheetId="29" hidden="1">'[1]Rev Growth Rate'!#REF!</definedName>
    <definedName name="b" localSheetId="18" hidden="1">'[1]Rev Growth Rate'!#REF!</definedName>
    <definedName name="b" localSheetId="15" hidden="1">'[1]Rev Growth Rate'!#REF!</definedName>
    <definedName name="b" localSheetId="6" hidden="1">'[1]Rev Growth Rate'!#REF!</definedName>
    <definedName name="b" localSheetId="7" hidden="1">'[1]Rev Growth Rate'!#REF!</definedName>
    <definedName name="b" localSheetId="25" hidden="1">'[1]Rev Growth Rate'!#REF!</definedName>
    <definedName name="b" localSheetId="28" hidden="1">'[1]Rev Growth Rate'!#REF!</definedName>
    <definedName name="b" localSheetId="23" hidden="1">'[1]Rev Growth Rate'!#REF!</definedName>
    <definedName name="b" hidden="1">'[1]Rev Growth Rate'!#REF!</definedName>
    <definedName name="bb" hidden="1">{"DMS P&amp;L",#N/A,TRUE,"Workbook Contents";"Telstra Restructure Costs Balance Sheet",#N/A,TRUE,"Workbook Contents";"Telstra Restructure Costs Cashflow",#N/A,TRUE,"Workbook Contents";"Telstra Restructure Costs P&amp;L",#N/A,TRUE,"Workbook Contents";"DC Telstra w/. Savings Balance Sheet",#N/A,TRUE,"Workbook Contents";"DC Telstra w/. Savings Cashflow",#N/A,TRUE,"Workbook Contents";"DC Telstra w/. Savings P&amp;L",#N/A,TRUE,"Workbook Contents";"DC Ex Telstra Restructure Costs Balance Sheet",#N/A,TRUE,"Workbook Contents";"DC Ex Telstra Restrucure Costs Cashflow",#N/A,TRUE,"Workbook Contents";"DC Ex Telstra Restructure Costs P&amp;L",#N/A,TRUE,"Workbook Contents";"DC Ex Telstra w/. Savings Balance Sheet",#N/A,TRUE,"Workbook Contents";"DC Ex Telstra w/. Savings Cashflow",#N/A,TRUE,"Workbook Contents";"DC Ex Telstra w/. Savings P&amp;L",#N/A,TRUE,"Workbook Contents";"Combined Balance Sheet",#N/A,TRUE,"Workbook Contents";"Combined Cash Flow",#N/A,TRUE,"Workbook Contents";"Combined P&amp;L",#N/A,TRUE,"Workbook Contents";"Summary",#N/A,TRUE,"Workbook Contents";"DC Cashflow",#N/A,TRUE,"Workbook Contents";"DC Telstra KPI",#N/A,TRUE,"Workbook Contents";"Combined (ex Telstra) KPI",#N/A,TRUE,"Workbook Contents";"DMS KPI",#N/A,TRUE,"Workbook Contents";"DC Ex Telstra KPI",#N/A,TRUE,"Workbook Contents"}</definedName>
    <definedName name="bbbb" hidden="1">{"TOTALDPAK",#N/A,FALSE,"DPAK PRODUCTION";"HADPAK",#N/A,FALSE,"DPAK PRODUCTION";"PSIDPAK",#N/A,FALSE,"DPAK PRODUCTION"}</definedName>
    <definedName name="cccc"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cf" hidden="1">{#N/A,#N/A,FALSE,"Variables";#N/A,#N/A,FALSE,"NPV Cashflows NZ$";#N/A,#N/A,FALSE,"Cashflows NZ$"}</definedName>
    <definedName name="CIQWBGuid" hidden="1">"ae0908a0-5868-4fbe-af0c-c49f2d8184fb"</definedName>
    <definedName name="complete"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Country">'[2]Index match'!$C$99:$C$102</definedName>
    <definedName name="CPRS_List">'[2]Index match'!$C$12:$C$16</definedName>
    <definedName name="crap" hidden="1">{#N/A,#N/A,FALSE,"Australis";#N/A,#N/A,FALSE,"Australis - subscribers";#N/A,#N/A,FALSE,"Australis - Revenue";#N/A,#N/A,FALSE,"Australis - Expenses";#N/A,#N/A,FALSE,"Joint Ventures";#N/A,#N/A,FALSE,"Programming Margin"}</definedName>
    <definedName name="crap1" hidden="1">{#N/A,#N/A,FALSE,"Australis";#N/A,#N/A,FALSE,"Australis - subscribers";#N/A,#N/A,FALSE,"Australis - Revenue";#N/A,#N/A,FALSE,"Australis - Expenses";#N/A,#N/A,FALSE,"Joint Ventures";#N/A,#N/A,FALSE,"Programming Margin"}</definedName>
    <definedName name="crap12" hidden="1">{#N/A,#N/A,FALSE,"Australis";#N/A,#N/A,FALSE,"Australis - subscribers";#N/A,#N/A,FALSE,"Australis - Revenue";#N/A,#N/A,FALSE,"Australis - Expenses";#N/A,#N/A,FALSE,"Joint Ventures";#N/A,#N/A,FALSE,"Programming Margin"}</definedName>
    <definedName name="crap2" hidden="1">{#N/A,#N/A,FALSE,"Australis";#N/A,#N/A,FALSE,"Australis - subscribers";#N/A,#N/A,FALSE,"Australis - Revenue";#N/A,#N/A,FALSE,"Australis - Expenses";#N/A,#N/A,FALSE,"Joint Ventures";#N/A,#N/A,FALSE,"Programming Margin"}</definedName>
    <definedName name="ddd" hidden="1">{#N/A,#N/A,FALSE,"Cashflow"}</definedName>
    <definedName name="dddd" hidden="1">{"TOTALFAB",#N/A,FALSE,"WAFER FAB 2 EXPENSE";"FABPRODUCTION",#N/A,FALSE,"WAFER FAB 2 EXPENSE";"FABENGINEERING",#N/A,FALSE,"WAFER FAB 2 EXPENSE";"FABEQUIPSUPPORT",#N/A,FALSE,"WAFER FAB 2 EXPENSE";"FABPRODUCTLINE",#N/A,FALSE,"WAFER FAB 2 EXPENSE";"FABMATERIALS",#N/A,FALSE,"WAFER FAB 2 EXPENSE"}</definedName>
    <definedName name="DME_Dirty" hidden="1">"False"</definedName>
    <definedName name="e"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EastAndWest">INDEX!$M$67:$P$69,INDEX!$M$72:$P$74</definedName>
    <definedName name="eee" hidden="1">{#N/A,#N/A,FALSE,"Cashflow"}</definedName>
    <definedName name="eeee" hidden="1">{"TOTALDPAK",#N/A,FALSE,"DPAK PRODUCTION";"HADPAK",#N/A,FALSE,"DPAK PRODUCTION";"PSIDPAK",#N/A,FALSE,"DPAK PRODUCTION"}</definedName>
    <definedName name="eeeee"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fffff" hidden="1">{"TOTALFAB",#N/A,FALSE,"WAFER FAB 2 EXPENSE";"FABPRODUCTION",#N/A,FALSE,"WAFER FAB 2 EXPENSE";"FABENGINEERING",#N/A,FALSE,"WAFER FAB 2 EXPENSE";"FABEQUIPSUPPORT",#N/A,FALSE,"WAFER FAB 2 EXPENSE";"FABPRODUCTLINE",#N/A,FALSE,"WAFER FAB 2 EXPENSE";"FABMATERIALS",#N/A,FALSE,"WAFER FAB 2 EXPENSE"}</definedName>
    <definedName name="fslis">[3]Aggregation!$C$443:$C$486</definedName>
    <definedName name="ggggg" hidden="1">{"TOTALDPAK",#N/A,FALSE,"DPAK PRODUCTION";"HADPAK",#N/A,FALSE,"DPAK PRODUCTION";"PSIDPAK",#N/A,FALSE,"DPAK PRODUCTION"}</definedName>
    <definedName name="hhhhh"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HTML_CodePage" hidden="1">1252</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iiii" hidden="1">{"TOTALDPAK",#N/A,FALSE,"DPAK PRODUCTION";"HADPAK",#N/A,FALSE,"DPAK PRODUCTION";"PSIDPAK",#N/A,FALSE,"DPAK PRODUCTION"}</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RATING_FITCH" hidden="1">"c223"</definedName>
    <definedName name="IQ_BONDRATING_FITCH_DATE" hidden="1">"c241"</definedName>
    <definedName name="IQ_BONDRATING_SP" hidden="1">"c224"</definedName>
    <definedName name="IQ_BONDRATING_SP_DATE" hidden="1">"c242"</definedName>
    <definedName name="IQ_BROK_COMISSION" hidden="1">"c98"</definedName>
    <definedName name="IQ_BUILDINGS" hidden="1">"c99"</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TDDEV_EST_REUT" hidden="1">"c5408"</definedName>
    <definedName name="IQ_BV_STDDEV_EST_THOM" hidden="1">"c5152"</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B_OUTSTANDING_BS_DATE" hidden="1">"c1972"</definedName>
    <definedName name="IQ_CLASSB_OUTSTANDING_FILING_DATE" hidden="1">"c1974"</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RATE" hidden="1">"c2192"</definedName>
    <definedName name="IQ_CONVERT_DEBT" hidden="1">"c224"</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 hidden="1">"c231"</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 hidden="1">"c2801"</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 hidden="1">"c157"</definedName>
    <definedName name="IQ_EBIT_GROWTH_2" hidden="1">"c161"</definedName>
    <definedName name="IQ_EBIT_INT" hidden="1">"c360"</definedName>
    <definedName name="IQ_EBIT_MARGIN" hidden="1">"c359"</definedName>
    <definedName name="IQ_EBIT_OVER_IE" hidden="1">"c360"</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NO_EST" hidden="1">"c267"</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O_EST" hidden="1">"c271"</definedName>
    <definedName name="IQ_EPS_NUM_EST" hidden="1">"c402"</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BV_REUT" hidden="1">"c5409"</definedName>
    <definedName name="IQ_EST_ACT_BV_THOM" hidden="1">"c5153"</definedName>
    <definedName name="IQ_EST_ACT_EPS" hidden="1">"c1648"</definedName>
    <definedName name="IQ_EST_ACT_EPS_PRIMARY" hidden="1">"c2232"</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O_EST" hidden="1">"c276"</definedName>
    <definedName name="IQ_FFO_NUM_EST" hidden="1">"c421"</definedName>
    <definedName name="IQ_FFO_STDDEV_EST" hidden="1">"c422"</definedName>
    <definedName name="IQ_FH">100000</definedName>
    <definedName name="IQ_FHLB_DEBT" hidden="1">"c423"</definedName>
    <definedName name="IQ_FHLB_DUE_AFTER_FIVE" hidden="1">"c2086"</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1000</definedName>
    <definedName name="IQ_FY_DATE" hidden="1">"IQ_FY_DATE"</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GW" hidden="1">"c519"</definedName>
    <definedName name="IQ_GROSS_INTAN" hidden="1">"c520"</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LT_DEBT" hidden="1">"c2086"</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"c1304"</definedName>
    <definedName name="IQ_LTMMONTH" hidden="1">120000</definedName>
    <definedName name="IQ_MACHINERY" hidden="1">"c711"</definedName>
    <definedName name="IQ_MARKETCAP" hidden="1">"c712"</definedName>
    <definedName name="IQ_MARKTCAP" hidden="1">"c258"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44936.4782175926</definedName>
    <definedName name="IQ_NAV_ACT_OR_EST" hidden="1">"c2225"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OFFICES" hidden="1">"c2088"</definedName>
    <definedName name="IQ_NUMBER_SHAREHOLDERS_CLASSB" hidden="1">"c1969"</definedName>
    <definedName name="IQ_OCCUPY_EXP" hidden="1">"c839"</definedName>
    <definedName name="IQ_OG_OTHER_ADJ" hidden="1">"c1999"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ISSUED" hidden="1">"c857"</definedName>
    <definedName name="IQ_OPTIONS_OS" hidden="1">"c858"</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UTSTANDING_FILING_DATE_TOTAL" hidden="1">"c2107"</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ETAX_INC_10K" hidden="1">"IQ_PRETAX_INC_10K"</definedName>
    <definedName name="IQ_PRETAX_INC_10Q" hidden="1">"IQ_PRETAX_INC_10Q"</definedName>
    <definedName name="IQ_PRETAX_INC_10Q1" hidden="1">"IQ_PRETAX_INC_10Q1"</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GROWTH_1" hidden="1">"c155"</definedName>
    <definedName name="IQ_REVENUE_GROWTH_2" hidden="1">"c159"</definedName>
    <definedName name="IQ_REVENUE_HIGH_EST" hidden="1">"c1127"</definedName>
    <definedName name="IQ_REVENUE_LOW_EST" hidden="1">"c1128"</definedName>
    <definedName name="IQ_REVENUE_NO_EST" hidden="1">"c263"</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_ISSUE_LC_ACTION" hidden="1">"c2644"</definedName>
    <definedName name="IQ_SP_ISSUE_LC_DATE" hidden="1">"c2643"</definedName>
    <definedName name="IQ_SP_ISSUE_LC_LT" hidden="1">"c2645"</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DUE" hidden="1">"c2509"</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_BUY_ADVISORS" hidden="1">"c2387"</definedName>
    <definedName name="IQ_TR_SELL_ADVISORS" hidden="1">"c2388"</definedName>
    <definedName name="IQ_TR_SUBDEBT" hidden="1">"c2370"</definedName>
    <definedName name="IQ_TR_TARGET_ADVISORS" hidden="1">"c2386"</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IQRAF17" hidden="1">"$AF$18:$AF$235"</definedName>
    <definedName name="IQRAF7" hidden="1">"$AF$8:$AF$119"</definedName>
    <definedName name="IQRAG7" hidden="1">"$AG$8:$AG$119"</definedName>
    <definedName name="IQRAH7" hidden="1">"$AH$8:$AH$119"</definedName>
    <definedName name="jjjj" hidden="1">{"TOTALFAB",#N/A,FALSE,"WAFER FAB 2 EXPENSE";"FABPRODUCTION",#N/A,FALSE,"WAFER FAB 2 EXPENSE";"FABENGINEERING",#N/A,FALSE,"WAFER FAB 2 EXPENSE";"FABEQUIPSUPPORT",#N/A,FALSE,"WAFER FAB 2 EXPENSE";"FABPRODUCTLINE",#N/A,FALSE,"WAFER FAB 2 EXPENSE";"FABMATERIALS",#N/A,FALSE,"WAFER FAB 2 EXPENSE"}</definedName>
    <definedName name="key" localSheetId="27" hidden="1">#REF!</definedName>
    <definedName name="key" localSheetId="29" hidden="1">#REF!</definedName>
    <definedName name="key" localSheetId="6" hidden="1">#REF!</definedName>
    <definedName name="key" localSheetId="30" hidden="1">#REF!</definedName>
    <definedName name="key" localSheetId="31" hidden="1">#REF!</definedName>
    <definedName name="key" hidden="1">#REF!</definedName>
    <definedName name="kkkk" hidden="1">{"TOTALDPAK",#N/A,FALSE,"DPAK PRODUCTION";"HADPAK",#N/A,FALSE,"DPAK PRODUCTION";"PSIDPAK",#N/A,FALSE,"DPAK PRODUCTION"}</definedName>
    <definedName name="limcount" hidden="1">1</definedName>
    <definedName name="ListOffset" hidden="1">1</definedName>
    <definedName name="lllll"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Months" localSheetId="30">Formula_Auditing!#REF!</definedName>
    <definedName name="Months" localSheetId="31">Formula_Auditing_Data!#REF!</definedName>
    <definedName name="NorthAndSouth">INDEX!$D$67:$G$69,INDEX!$D$72:$G$74</definedName>
    <definedName name="o" hidden="1">{#N/A,#N/A,FALSE,"New Depr Sch-150% DB";#N/A,#N/A,FALSE,"Cash Flows RLP";#N/A,#N/A,FALSE,"IRR";#N/A,#N/A,FALSE,"Proforma IS";#N/A,#N/A,FALSE,"Assumptions"}</definedName>
    <definedName name="oooo"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ppp" hidden="1">{#N/A,#N/A,FALSE,"Capacity"}</definedName>
    <definedName name="ppppp" hidden="1">{"TOTALFAB",#N/A,FALSE,"WAFER FAB 2 EXPENSE";"FABPRODUCTION",#N/A,FALSE,"WAFER FAB 2 EXPENSE";"FABENGINEERING",#N/A,FALSE,"WAFER FAB 2 EXPENSE";"FABEQUIPSUPPORT",#N/A,FALSE,"WAFER FAB 2 EXPENSE";"FABPRODUCTLINE",#N/A,FALSE,"WAFER FAB 2 EXPENSE";"FABMATERIALS",#N/A,FALSE,"WAFER FAB 2 EXPENSE"}</definedName>
    <definedName name="qqq" hidden="1">{"TOTALDPAK",#N/A,FALSE,"DPAK PRODUCTION";"HADPAK",#N/A,FALSE,"DPAK PRODUCTION";"PSIDPAK",#N/A,FALSE,"DPAK PRODUCTION"}</definedName>
    <definedName name="rrr" hidden="1">{#N/A,#N/A,FALSE,"Revenue (Annual)";"Revenue _ First 5 years Quarterly",#N/A,FALSE,"Revenue (Qtr)"}</definedName>
    <definedName name="rrrr" hidden="1">{"TOTALFAB",#N/A,FALSE,"WAFER FAB 2 EXPENSE";"FABPRODUCTION",#N/A,FALSE,"WAFER FAB 2 EXPENSE";"FABENGINEERING",#N/A,FALSE,"WAFER FAB 2 EXPENSE";"FABEQUIPSUPPORT",#N/A,FALSE,"WAFER FAB 2 EXPENSE";"FABPRODUCTLINE",#N/A,FALSE,"WAFER FAB 2 EXPENSE";"FABMATERIALS",#N/A,FALSE,"WAFER FAB 2 EXPENSE"}</definedName>
    <definedName name="SAPBEXsysID" hidden="1">"Z21"</definedName>
    <definedName name="SAPBEXwbID" hidden="1">"3NJI8ZA6QS1MTEEE4506KYC6N"</definedName>
    <definedName name="sencount" hidden="1">1</definedName>
    <definedName name="t" hidden="1">{"TOTALFAB",#N/A,FALSE,"WAFER FAB 2 EXPENSE";"FABPRODUCTION",#N/A,FALSE,"WAFER FAB 2 EXPENSE";"FABENGINEERING",#N/A,FALSE,"WAFER FAB 2 EXPENSE";"FABEQUIPSUPPORT",#N/A,FALSE,"WAFER FAB 2 EXPENSE";"FABPRODUCTLINE",#N/A,FALSE,"WAFER FAB 2 EXPENSE";"FABMATERIALS",#N/A,FALSE,"WAFER FAB 2 EXPENSE"}</definedName>
    <definedName name="Tax" localSheetId="27" hidden="1">#REF!</definedName>
    <definedName name="Tax" localSheetId="29" hidden="1">#REF!</definedName>
    <definedName name="Tax" localSheetId="6" hidden="1">#REF!</definedName>
    <definedName name="Tax" localSheetId="30" hidden="1">#REF!</definedName>
    <definedName name="Tax" localSheetId="31" hidden="1">#REF!</definedName>
    <definedName name="Tax" hidden="1">#REF!</definedName>
    <definedName name="temp" hidden="1">{#N/A,#N/A,FALSE,"Australis";#N/A,#N/A,FALSE,"Australis - subscribers";#N/A,#N/A,FALSE,"Australis - Revenue";#N/A,#N/A,FALSE,"Australis - Expenses";#N/A,#N/A,FALSE,"Joint Ventures";#N/A,#N/A,FALSE,"Programming Margin"}</definedName>
    <definedName name="tttt" hidden="1">{"TOTALDPAK",#N/A,FALSE,"DPAK PRODUCTION";"HADPAK",#N/A,FALSE,"DPAK PRODUCTION";"PSIDPAK",#N/A,FALSE,"DPAK PRODUCTION"}</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uuu" hidden="1">{"TOTALFAB",#N/A,FALSE,"WAFER FAB 2 EXPENSE";"FABPRODUCTION",#N/A,FALSE,"WAFER FAB 2 EXPENSE";"FABENGINEERING",#N/A,FALSE,"WAFER FAB 2 EXPENSE";"FABEQUIPSUPPORT",#N/A,FALSE,"WAFER FAB 2 EXPENSE";"FABPRODUCTLINE",#N/A,FALSE,"WAFER FAB 2 EXPENSE";"FABMATERIALS",#N/A,FALSE,"WAFER FAB 2 EXPENSE"}</definedName>
    <definedName name="w" hidden="1">{"TOTALDPAK",#N/A,FALSE,"DPAK PRODUCTION";"HADPAK",#N/A,FALSE,"DPAK PRODUCTION";"PSIDPAK",#N/A,FALSE,"DPAK PRODUCTION"}</definedName>
    <definedName name="woodflow" hidden="1">{#N/A,#N/A,FALSE,"Variables";#N/A,#N/A,FALSE,"NPV Cashflows NZ$";#N/A,#N/A,FALSE,"Cashflows NZ$"}</definedName>
    <definedName name="wrn.Alice._.15Yrs." hidden="1">{#N/A,#N/A,TRUE,"Alice - General";#N/A,#N/A,TRUE,"Alice - DMG Export";#N/A,#N/A,TRUE,"Alice - Selected Scenario";#N/A,#N/A,TRUE,"Alice - Revenues &amp; Expenses";#N/A,#N/A,TRUE,"Alice - Capex Cash";#N/A,#N/A,TRUE,"Alice - CapEx Depreciation"}</definedName>
    <definedName name="wrn.All." hidden="1">{#N/A,#N/A,TRUE,"DiscR";#N/A,#N/A,TRUE,"Ass";#N/A,#N/A,TRUE,"Dist";#N/A,#N/A,TRUE,"ETrad";#N/A,#N/A,TRUE,"Gen";#N/A,#N/A,TRUE,"Cons";#N/A,#N/A,TRUE,"Charges";#N/A,#N/A,TRUE,"FA"}</definedName>
    <definedName name="wrn.Basic._.Report." hidden="1">{#N/A,#N/A,FALSE,"New Depr Sch-150% DB";#N/A,#N/A,FALSE,"Cash Flows RLP";#N/A,#N/A,FALSE,"IRR";#N/A,#N/A,FALSE,"Proforma IS";#N/A,#N/A,FALSE,"Assumptions"}</definedName>
    <definedName name="wrn.Capacity." hidden="1">{#N/A,#N/A,FALSE,"Capacity"}</definedName>
    <definedName name="wrn.CAPEX." hidden="1">{"capex_annual",#N/A,TRUE,"CAPEX";"capex_monthly",#N/A,TRUE,"CAPEX"}</definedName>
    <definedName name="wrn.Cashflow._.Summary." hidden="1">{#N/A,#N/A,FALSE,"Cashflow"}</definedName>
    <definedName name="wrn.Century._.Valuation." hidden="1">{"annual",#N/A,FALSE,"AML"}</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Budget._.Report."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wrn.Complete._.Budget._.Report.new"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wrn.Complete._.Report." hidden="1">{#N/A,#N/A,FALSE,"Assumptions";#N/A,#N/A,FALSE,"Proforma IS";#N/A,#N/A,FALSE,"Cash Flows RLP";#N/A,#N/A,FALSE,"IRR";#N/A,#N/A,FALSE,"New Depr Sch-150% DB";#N/A,#N/A,FALSE,"Comments"}</definedName>
    <definedName name="wrn.Darwin._.15Yrs." hidden="1">{#N/A,#N/A,TRUE,"Darwin - General";#N/A,#N/A,TRUE,"Darwin - DMG Export Sheet";#N/A,#N/A,TRUE,"Darwin - Case Selection";#N/A,#N/A,TRUE,"Darwin - Revenues &amp; Expenses";#N/A,#N/A,TRUE,"Darwin - CapEx Cash";#N/A,#N/A,TRUE,"Darwin - CapEx Depreciation";#N/A,#N/A,TRUE,"Darwin - Statistics "}</definedName>
    <definedName name="wrn.Darwin._.Report." hidden="1">{#N/A,#N/A,FALSE,"Darwin - General";#N/A,#N/A,FALSE,"Darwin - Case Selection";#N/A,#N/A,FALSE,"Darwin - Revenues &amp; Expenses";#N/A,#N/A,FALSE,"Darwin - Assets";#N/A,#N/A,FALSE,"Darwin - CapEx Cash";#N/A,#N/A,FALSE,"Darwin - CapEx Depreciation";#N/A,#N/A,FALSE,"Darwin - DMG Export Sheet";#N/A,#N/A,FALSE,"Darwin - Statistics "}</definedName>
    <definedName name="wrn.Dividend._.Schedule." hidden="1">{"Dividend",#N/A,FALSE,"Cash Flow"}</definedName>
    <definedName name="wrn.EBITDA._.Print._.Range." hidden="1">{"EBITDA Print Range",#N/A,FALSE,"EBITDA"}</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ncial._.Summary._.NZ._.DOLLARS." hidden="1">{#N/A,#N/A,FALSE,"Variables";#N/A,#N/A,FALSE,"NPV Cashflows NZ$";#N/A,#N/A,FALSE,"Cashflows NZ$"}</definedName>
    <definedName name="wrn.Financial._.Summary._.US._.Dollars." hidden="1">{#N/A,#N/A,FALSE,"Variables";#N/A,#N/A,FALSE,"Cashflows";#N/A,#N/A,FALSE,"NPV Cashflow"}</definedName>
    <definedName name="wrn.Financials._.Pack." hidden="1">{"DMS P&amp;L",#N/A,TRUE,"Workbook Contents";"Telstra Restructure Costs Balance Sheet",#N/A,TRUE,"Workbook Contents";"Telstra Restructure Costs Cashflow",#N/A,TRUE,"Workbook Contents";"Telstra Restructure Costs P&amp;L",#N/A,TRUE,"Workbook Contents";"DC Telstra w/. Savings Balance Sheet",#N/A,TRUE,"Workbook Contents";"DC Telstra w/. Savings Cashflow",#N/A,TRUE,"Workbook Contents";"DC Telstra w/. Savings P&amp;L",#N/A,TRUE,"Workbook Contents";"DC Ex Telstra Restructure Costs Balance Sheet",#N/A,TRUE,"Workbook Contents";"DC Ex Telstra Restrucure Costs Cashflow",#N/A,TRUE,"Workbook Contents";"DC Ex Telstra Restructure Costs P&amp;L",#N/A,TRUE,"Workbook Contents";"DC Ex Telstra w/. Savings Balance Sheet",#N/A,TRUE,"Workbook Contents";"DC Ex Telstra w/. Savings Cashflow",#N/A,TRUE,"Workbook Contents";"DC Ex Telstra w/. Savings P&amp;L",#N/A,TRUE,"Workbook Contents";"Combined Balance Sheet",#N/A,TRUE,"Workbook Contents";"Combined Cash Flow",#N/A,TRUE,"Workbook Contents";"Combined P&amp;L",#N/A,TRUE,"Workbook Contents";"Summary",#N/A,TRUE,"Workbook Contents";"DC Cashflow",#N/A,TRUE,"Workbook Contents";"DC Telstra KPI",#N/A,TRUE,"Workbook Contents";"Combined (ex Telstra) KPI",#N/A,TRUE,"Workbook Contents";"DMS KPI",#N/A,TRUE,"Workbook Contents";"DC Ex Telstra KPI",#N/A,TRUE,"Workbook Contents"}</definedName>
    <definedName name="wrn.Full._.Model._.Out._.Put." hidden="1">{#N/A,#N/A,FALSE,"Variables";#N/A,#N/A,FALSE,"Woodflow 2";#N/A,#N/A,FALSE,"Log Prices";#N/A,#N/A,FALSE,"Revenues";#N/A,#N/A,FALSE,"Harvesting ";#N/A,#N/A,FALSE,"Forest Developement";#N/A,#N/A,FALSE,"Cashflows NZ$";#N/A,#N/A,FALSE,"NPV Cashflows NZ$"}</definedName>
    <definedName name="wrn.Post._.Tax." hidden="1">{#N/A,#N/A,FALSE,"timeval";#N/A,#N/A,FALSE,"Sens";#N/A,#N/A,FALSE,"Amortisation";#N/A,#N/A,FALSE,"Profit &amp; Loss";#N/A,#N/A,FALSE,"Fin Cashflow"}</definedName>
    <definedName name="wrn.print." hidden="1">{#N/A,#N/A,FALSE,"Japan 2003";#N/A,#N/A,FALSE,"Sheet2"}</definedName>
    <definedName name="wrn.Revenue." hidden="1">{#N/A,#N/A,FALSE,"Revenue (Annual)";"Revenue _ First 5 years Quarterly",#N/A,FALSE,"Revenue (Qtr)"}</definedName>
    <definedName name="www" hidden="1">{"capex_annual",#N/A,TRUE,"CAPEX";"capex_monthly",#N/A,TRUE,"CAPEX"}</definedName>
    <definedName name="wwww"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y" hidden="1">{0,0,0,0;0,0,0,0;0,0,0,0;0,0,0,0;0,0,0,0;0,0,0,0}</definedName>
    <definedName name="Year_List" localSheetId="30">Formula_Auditing!#REF!</definedName>
    <definedName name="Year_List" localSheetId="31">Formula_Auditing_Data!#REF!</definedName>
    <definedName name="yyyy" hidden="1">{"TOTALFAB",#N/A,FALSE,"WAFER FAB 1 EXPENSE";"FABMANAGEMENT",#N/A,FALSE,"WAFER FAB 1 EXPENSE";"FABPRODUCTION",#N/A,FALSE,"WAFER FAB 1 EXPENSE";"FABENGINEERING",#N/A,FALSE,"WAFER FAB 1 EXPENSE";"FABEQUIPSUPPORT",#N/A,FALSE,"WAFER FAB 1 EXPENSE";"FABPRODUCTLINE",#N/A,FALSE,"WAFER FAB 1 EXPENSE";"FABMATERIALS",#N/A,FALSE,"WAFER FAB 1 EXPENSE"}</definedName>
    <definedName name="Z_6ACADEE2_009E_11D4_A1B3_00104B0DE994_.wvu.Rows" localSheetId="27" hidden="1">'[4]Subs Summ'!#REF!,'[4]Subs Summ'!#REF!,'[4]Subs Summ'!#REF!,'[4]Subs Summ'!#REF!,'[4]Subs Summ'!#REF!</definedName>
    <definedName name="Z_6ACADEE2_009E_11D4_A1B3_00104B0DE994_.wvu.Rows" localSheetId="29" hidden="1">'[4]Subs Summ'!#REF!,'[4]Subs Summ'!#REF!,'[4]Subs Summ'!#REF!,'[4]Subs Summ'!#REF!,'[4]Subs Summ'!#REF!</definedName>
    <definedName name="Z_6ACADEE2_009E_11D4_A1B3_00104B0DE994_.wvu.Rows" localSheetId="6" hidden="1">'[4]Subs Summ'!#REF!,'[4]Subs Summ'!#REF!,'[4]Subs Summ'!#REF!,'[4]Subs Summ'!#REF!,'[4]Subs Summ'!#REF!</definedName>
    <definedName name="Z_6ACADEE2_009E_11D4_A1B3_00104B0DE994_.wvu.Rows" localSheetId="30" hidden="1">'[4]Subs Summ'!#REF!,'[4]Subs Summ'!#REF!,'[4]Subs Summ'!#REF!,'[4]Subs Summ'!#REF!,'[4]Subs Summ'!#REF!</definedName>
    <definedName name="Z_6ACADEE2_009E_11D4_A1B3_00104B0DE994_.wvu.Rows" localSheetId="31" hidden="1">'[4]Subs Summ'!#REF!,'[4]Subs Summ'!#REF!,'[4]Subs Summ'!#REF!,'[4]Subs Summ'!#REF!,'[4]Subs Summ'!#REF!</definedName>
    <definedName name="Z_6ACADEE2_009E_11D4_A1B3_00104B0DE994_.wvu.Rows" hidden="1">'[4]Subs Summ'!#REF!,'[4]Subs Summ'!#REF!,'[4]Subs Summ'!#REF!,'[4]Subs Summ'!#REF!,'[4]Subs Summ'!#REF!</definedName>
    <definedName name="Z_B267D42D_F8BE_11D3_A1B3_00104B0DE994_.wvu.Rows" localSheetId="27" hidden="1">'[4]Subs Summ'!#REF!,'[4]Subs Summ'!#REF!,'[4]Subs Summ'!#REF!,'[4]Subs Summ'!#REF!,'[4]Subs Summ'!#REF!</definedName>
    <definedName name="Z_B267D42D_F8BE_11D3_A1B3_00104B0DE994_.wvu.Rows" localSheetId="29" hidden="1">'[4]Subs Summ'!#REF!,'[4]Subs Summ'!#REF!,'[4]Subs Summ'!#REF!,'[4]Subs Summ'!#REF!,'[4]Subs Summ'!#REF!</definedName>
    <definedName name="Z_B267D42D_F8BE_11D3_A1B3_00104B0DE994_.wvu.Rows" localSheetId="6" hidden="1">'[4]Subs Summ'!#REF!,'[4]Subs Summ'!#REF!,'[4]Subs Summ'!#REF!,'[4]Subs Summ'!#REF!,'[4]Subs Summ'!#REF!</definedName>
    <definedName name="Z_B267D42D_F8BE_11D3_A1B3_00104B0DE994_.wvu.Rows" localSheetId="30" hidden="1">'[4]Subs Summ'!#REF!,'[4]Subs Summ'!#REF!,'[4]Subs Summ'!#REF!,'[4]Subs Summ'!#REF!,'[4]Subs Summ'!#REF!</definedName>
    <definedName name="Z_B267D42D_F8BE_11D3_A1B3_00104B0DE994_.wvu.Rows" localSheetId="31" hidden="1">'[4]Subs Summ'!#REF!,'[4]Subs Summ'!#REF!,'[4]Subs Summ'!#REF!,'[4]Subs Summ'!#REF!,'[4]Subs Summ'!#REF!</definedName>
    <definedName name="Z_B267D42D_F8BE_11D3_A1B3_00104B0DE994_.wvu.Rows" hidden="1">'[4]Subs Summ'!#REF!,'[4]Subs Summ'!#REF!,'[4]Subs Summ'!#REF!,'[4]Subs Summ'!#REF!,'[4]Subs Summ'!#REF!</definedName>
    <definedName name="Z_B267D42E_F8BE_11D3_A1B3_00104B0DE994_.wvu.Rows" localSheetId="27" hidden="1">'[4]Subs Summ'!#REF!,'[4]Subs Summ'!#REF!,'[4]Subs Summ'!#REF!,'[4]Subs Summ'!#REF!,'[4]Subs Summ'!#REF!</definedName>
    <definedName name="Z_B267D42E_F8BE_11D3_A1B3_00104B0DE994_.wvu.Rows" localSheetId="29" hidden="1">'[4]Subs Summ'!#REF!,'[4]Subs Summ'!#REF!,'[4]Subs Summ'!#REF!,'[4]Subs Summ'!#REF!,'[4]Subs Summ'!#REF!</definedName>
    <definedName name="Z_B267D42E_F8BE_11D3_A1B3_00104B0DE994_.wvu.Rows" localSheetId="6" hidden="1">'[4]Subs Summ'!#REF!,'[4]Subs Summ'!#REF!,'[4]Subs Summ'!#REF!,'[4]Subs Summ'!#REF!,'[4]Subs Summ'!#REF!</definedName>
    <definedName name="Z_B267D42E_F8BE_11D3_A1B3_00104B0DE994_.wvu.Rows" localSheetId="30" hidden="1">'[4]Subs Summ'!#REF!,'[4]Subs Summ'!#REF!,'[4]Subs Summ'!#REF!,'[4]Subs Summ'!#REF!,'[4]Subs Summ'!#REF!</definedName>
    <definedName name="Z_B267D42E_F8BE_11D3_A1B3_00104B0DE994_.wvu.Rows" localSheetId="31" hidden="1">'[4]Subs Summ'!#REF!,'[4]Subs Summ'!#REF!,'[4]Subs Summ'!#REF!,'[4]Subs Summ'!#REF!,'[4]Subs Summ'!#REF!</definedName>
    <definedName name="Z_B267D42E_F8BE_11D3_A1B3_00104B0DE994_.wvu.Rows" hidden="1">'[4]Subs Summ'!#REF!,'[4]Subs Summ'!#REF!,'[4]Subs Summ'!#REF!,'[4]Subs Summ'!#REF!,'[4]Subs Summ'!#REF!</definedName>
    <definedName name="Z_B267D431_F8BE_11D3_A1B3_00104B0DE994_.wvu.Rows" localSheetId="27" hidden="1">'[4]Subs Summ'!#REF!,'[4]Subs Summ'!#REF!,'[4]Subs Summ'!#REF!,'[4]Subs Summ'!#REF!,'[4]Subs Summ'!#REF!</definedName>
    <definedName name="Z_B267D431_F8BE_11D3_A1B3_00104B0DE994_.wvu.Rows" localSheetId="29" hidden="1">'[4]Subs Summ'!#REF!,'[4]Subs Summ'!#REF!,'[4]Subs Summ'!#REF!,'[4]Subs Summ'!#REF!,'[4]Subs Summ'!#REF!</definedName>
    <definedName name="Z_B267D431_F8BE_11D3_A1B3_00104B0DE994_.wvu.Rows" localSheetId="6" hidden="1">'[4]Subs Summ'!#REF!,'[4]Subs Summ'!#REF!,'[4]Subs Summ'!#REF!,'[4]Subs Summ'!#REF!,'[4]Subs Summ'!#REF!</definedName>
    <definedName name="Z_B267D431_F8BE_11D3_A1B3_00104B0DE994_.wvu.Rows" localSheetId="30" hidden="1">'[4]Subs Summ'!#REF!,'[4]Subs Summ'!#REF!,'[4]Subs Summ'!#REF!,'[4]Subs Summ'!#REF!,'[4]Subs Summ'!#REF!</definedName>
    <definedName name="Z_B267D431_F8BE_11D3_A1B3_00104B0DE994_.wvu.Rows" localSheetId="31" hidden="1">'[4]Subs Summ'!#REF!,'[4]Subs Summ'!#REF!,'[4]Subs Summ'!#REF!,'[4]Subs Summ'!#REF!,'[4]Subs Summ'!#REF!</definedName>
    <definedName name="Z_B267D431_F8BE_11D3_A1B3_00104B0DE994_.wvu.Rows" hidden="1">'[4]Subs Summ'!#REF!,'[4]Subs Summ'!#REF!,'[4]Subs Summ'!#REF!,'[4]Subs Summ'!#REF!,'[4]Subs Summ'!#REF!</definedName>
    <definedName name="Z_B267D432_F8BE_11D3_A1B3_00104B0DE994_.wvu.Rows" localSheetId="27" hidden="1">'[4]Subs Summ'!#REF!,'[4]Subs Summ'!#REF!,'[4]Subs Summ'!#REF!,'[4]Subs Summ'!#REF!,'[4]Subs Summ'!#REF!</definedName>
    <definedName name="Z_B267D432_F8BE_11D3_A1B3_00104B0DE994_.wvu.Rows" localSheetId="29" hidden="1">'[4]Subs Summ'!#REF!,'[4]Subs Summ'!#REF!,'[4]Subs Summ'!#REF!,'[4]Subs Summ'!#REF!,'[4]Subs Summ'!#REF!</definedName>
    <definedName name="Z_B267D432_F8BE_11D3_A1B3_00104B0DE994_.wvu.Rows" localSheetId="6" hidden="1">'[4]Subs Summ'!#REF!,'[4]Subs Summ'!#REF!,'[4]Subs Summ'!#REF!,'[4]Subs Summ'!#REF!,'[4]Subs Summ'!#REF!</definedName>
    <definedName name="Z_B267D432_F8BE_11D3_A1B3_00104B0DE994_.wvu.Rows" localSheetId="30" hidden="1">'[4]Subs Summ'!#REF!,'[4]Subs Summ'!#REF!,'[4]Subs Summ'!#REF!,'[4]Subs Summ'!#REF!,'[4]Subs Summ'!#REF!</definedName>
    <definedName name="Z_B267D432_F8BE_11D3_A1B3_00104B0DE994_.wvu.Rows" localSheetId="31" hidden="1">'[4]Subs Summ'!#REF!,'[4]Subs Summ'!#REF!,'[4]Subs Summ'!#REF!,'[4]Subs Summ'!#REF!,'[4]Subs Summ'!#REF!</definedName>
    <definedName name="Z_B267D432_F8BE_11D3_A1B3_00104B0DE994_.wvu.Rows" hidden="1">'[4]Subs Summ'!#REF!,'[4]Subs Summ'!#REF!,'[4]Subs Summ'!#REF!,'[4]Subs Summ'!#REF!,'[4]Subs Summ'!#REF!</definedName>
    <definedName name="Z_B267D434_F8BE_11D3_A1B3_00104B0DE994_.wvu.Rows" localSheetId="27" hidden="1">'[4]Subs Summ'!#REF!,'[4]Subs Summ'!#REF!,'[4]Subs Summ'!#REF!,'[4]Subs Summ'!#REF!,'[4]Subs Summ'!#REF!</definedName>
    <definedName name="Z_B267D434_F8BE_11D3_A1B3_00104B0DE994_.wvu.Rows" localSheetId="29" hidden="1">'[4]Subs Summ'!#REF!,'[4]Subs Summ'!#REF!,'[4]Subs Summ'!#REF!,'[4]Subs Summ'!#REF!,'[4]Subs Summ'!#REF!</definedName>
    <definedName name="Z_B267D434_F8BE_11D3_A1B3_00104B0DE994_.wvu.Rows" localSheetId="6" hidden="1">'[4]Subs Summ'!#REF!,'[4]Subs Summ'!#REF!,'[4]Subs Summ'!#REF!,'[4]Subs Summ'!#REF!,'[4]Subs Summ'!#REF!</definedName>
    <definedName name="Z_B267D434_F8BE_11D3_A1B3_00104B0DE994_.wvu.Rows" localSheetId="30" hidden="1">'[4]Subs Summ'!#REF!,'[4]Subs Summ'!#REF!,'[4]Subs Summ'!#REF!,'[4]Subs Summ'!#REF!,'[4]Subs Summ'!#REF!</definedName>
    <definedName name="Z_B267D434_F8BE_11D3_A1B3_00104B0DE994_.wvu.Rows" localSheetId="31" hidden="1">'[4]Subs Summ'!#REF!,'[4]Subs Summ'!#REF!,'[4]Subs Summ'!#REF!,'[4]Subs Summ'!#REF!,'[4]Subs Summ'!#REF!</definedName>
    <definedName name="Z_B267D434_F8BE_11D3_A1B3_00104B0DE994_.wvu.Rows" hidden="1">'[4]Subs Summ'!#REF!,'[4]Subs Summ'!#REF!,'[4]Subs Summ'!#REF!,'[4]Subs Summ'!#REF!,'[4]Subs Summ'!#REF!</definedName>
    <definedName name="Z_B267D435_F8BE_11D3_A1B3_00104B0DE994_.wvu.Rows" localSheetId="27" hidden="1">'[4]Subs Summ'!#REF!,'[4]Subs Summ'!#REF!,'[4]Subs Summ'!#REF!,'[4]Subs Summ'!#REF!,'[4]Subs Summ'!#REF!</definedName>
    <definedName name="Z_B267D435_F8BE_11D3_A1B3_00104B0DE994_.wvu.Rows" localSheetId="29" hidden="1">'[4]Subs Summ'!#REF!,'[4]Subs Summ'!#REF!,'[4]Subs Summ'!#REF!,'[4]Subs Summ'!#REF!,'[4]Subs Summ'!#REF!</definedName>
    <definedName name="Z_B267D435_F8BE_11D3_A1B3_00104B0DE994_.wvu.Rows" localSheetId="6" hidden="1">'[4]Subs Summ'!#REF!,'[4]Subs Summ'!#REF!,'[4]Subs Summ'!#REF!,'[4]Subs Summ'!#REF!,'[4]Subs Summ'!#REF!</definedName>
    <definedName name="Z_B267D435_F8BE_11D3_A1B3_00104B0DE994_.wvu.Rows" localSheetId="30" hidden="1">'[4]Subs Summ'!#REF!,'[4]Subs Summ'!#REF!,'[4]Subs Summ'!#REF!,'[4]Subs Summ'!#REF!,'[4]Subs Summ'!#REF!</definedName>
    <definedName name="Z_B267D435_F8BE_11D3_A1B3_00104B0DE994_.wvu.Rows" localSheetId="31" hidden="1">'[4]Subs Summ'!#REF!,'[4]Subs Summ'!#REF!,'[4]Subs Summ'!#REF!,'[4]Subs Summ'!#REF!,'[4]Subs Summ'!#REF!</definedName>
    <definedName name="Z_B267D435_F8BE_11D3_A1B3_00104B0DE994_.wvu.Rows" hidden="1">'[4]Subs Summ'!#REF!,'[4]Subs Summ'!#REF!,'[4]Subs Summ'!#REF!,'[4]Subs Summ'!#REF!,'[4]Subs Summ'!#REF!</definedName>
    <definedName name="Zone">'[2]Index match'!$D$98:$G$98</definedName>
    <definedName name="zzzz" hidden="1">{"TOTALFAB",#N/A,FALSE,"WAFER FAB 2 EXPENSE";"FABPRODUCTION",#N/A,FALSE,"WAFER FAB 2 EXPENSE";"FABENGINEERING",#N/A,FALSE,"WAFER FAB 2 EXPENSE";"FABEQUIPSUPPORT",#N/A,FALSE,"WAFER FAB 2 EXPENSE";"FABPRODUCTLINE",#N/A,FALSE,"WAFER FAB 2 EXPENSE";"FABMATERIALS",#N/A,FALSE,"WAFER FAB 2 EXPENSE"}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31" l="1"/>
  <c r="C48" i="131"/>
  <c r="F10" i="174"/>
  <c r="F6" i="174"/>
  <c r="F13" i="174"/>
  <c r="D48" i="131"/>
  <c r="D49" i="131"/>
  <c r="E76" i="171" l="1"/>
  <c r="E75" i="171"/>
  <c r="E74" i="171"/>
  <c r="E73" i="171"/>
  <c r="E43" i="171"/>
  <c r="G40" i="171"/>
  <c r="G28" i="171"/>
  <c r="G27" i="171"/>
  <c r="F27" i="171"/>
  <c r="G12" i="171"/>
  <c r="P18" i="134"/>
  <c r="P15" i="134"/>
  <c r="F18" i="134"/>
  <c r="F17" i="134"/>
  <c r="D61" i="134"/>
  <c r="C61" i="134"/>
  <c r="D157" i="85"/>
  <c r="D156" i="85"/>
  <c r="D155" i="85"/>
  <c r="D154" i="85"/>
  <c r="D153" i="85"/>
  <c r="G82" i="85"/>
  <c r="G65" i="85"/>
  <c r="C48" i="85"/>
  <c r="N53" i="63"/>
  <c r="F53" i="63"/>
  <c r="M37" i="63"/>
  <c r="H37" i="63"/>
  <c r="D37" i="63"/>
  <c r="D62" i="174"/>
  <c r="E3" i="174"/>
  <c r="E16" i="174" s="1"/>
  <c r="P6" i="62"/>
  <c r="Q6" i="62" s="1"/>
  <c r="P5" i="62"/>
  <c r="Q5" i="62" s="1"/>
  <c r="P4" i="62"/>
  <c r="Q4" i="62" s="1"/>
  <c r="O6" i="62"/>
  <c r="P78" i="62"/>
  <c r="O78" i="62"/>
  <c r="P77" i="62"/>
  <c r="O77" i="62"/>
  <c r="P76" i="62"/>
  <c r="O76" i="62"/>
  <c r="P75" i="62"/>
  <c r="O75" i="62"/>
  <c r="O65" i="62"/>
  <c r="O45" i="62"/>
  <c r="O46" i="62"/>
  <c r="O47" i="62"/>
  <c r="O44" i="62"/>
  <c r="E29" i="62"/>
  <c r="E30" i="62"/>
  <c r="E28" i="62"/>
  <c r="G85" i="69"/>
  <c r="G80" i="69"/>
  <c r="G79" i="69"/>
  <c r="E35" i="170"/>
  <c r="D35" i="170"/>
  <c r="D47" i="131"/>
  <c r="G13" i="131"/>
  <c r="F20" i="131"/>
  <c r="F26" i="131"/>
  <c r="D15" i="4"/>
  <c r="G4" i="131"/>
  <c r="D30" i="4"/>
  <c r="E61" i="174" l="1"/>
  <c r="E62" i="174" s="1"/>
  <c r="E71" i="174" s="1"/>
  <c r="D71" i="174"/>
  <c r="E10" i="174"/>
  <c r="E6" i="174"/>
  <c r="E13" i="174"/>
  <c r="E5" i="174"/>
  <c r="E69" i="174"/>
  <c r="E68" i="174"/>
  <c r="D69" i="174"/>
  <c r="D68" i="174"/>
  <c r="E66" i="174"/>
  <c r="F61" i="174"/>
  <c r="E63" i="174"/>
  <c r="E64" i="174"/>
  <c r="E17" i="174"/>
  <c r="E15" i="174"/>
  <c r="E12" i="174"/>
  <c r="E9" i="174"/>
  <c r="E8" i="174"/>
  <c r="D73" i="171"/>
  <c r="G28" i="178"/>
  <c r="G75" i="69"/>
  <c r="G67" i="69"/>
  <c r="G52" i="69"/>
  <c r="D38" i="69"/>
  <c r="E65" i="174" l="1"/>
  <c r="F62" i="174"/>
  <c r="F71" i="174" s="1"/>
  <c r="D74" i="171"/>
  <c r="D75" i="171"/>
  <c r="D76" i="171"/>
  <c r="E68" i="171"/>
  <c r="F68" i="171"/>
  <c r="G68" i="171"/>
  <c r="H68" i="171"/>
  <c r="I68" i="171"/>
  <c r="J68" i="171"/>
  <c r="K68" i="171"/>
  <c r="D68" i="171"/>
  <c r="M68" i="134"/>
  <c r="N68" i="134"/>
  <c r="O68" i="134"/>
  <c r="M69" i="134"/>
  <c r="N69" i="134"/>
  <c r="O69" i="134"/>
  <c r="M70" i="134"/>
  <c r="N70" i="134"/>
  <c r="O70" i="134"/>
  <c r="N67" i="134"/>
  <c r="O67" i="134"/>
  <c r="M67" i="134"/>
  <c r="N66" i="134"/>
  <c r="O66" i="134"/>
  <c r="M66" i="134"/>
  <c r="N63" i="134"/>
  <c r="O63" i="134"/>
  <c r="M63" i="134"/>
  <c r="F73" i="171"/>
  <c r="F74" i="171"/>
  <c r="P69" i="134"/>
  <c r="P67" i="134"/>
  <c r="F75" i="171"/>
  <c r="F76" i="171"/>
  <c r="P68" i="134"/>
  <c r="P70" i="134"/>
  <c r="F68" i="174" l="1"/>
  <c r="F69" i="174"/>
  <c r="G61" i="174"/>
  <c r="G62" i="174" s="1"/>
  <c r="G71" i="174" s="1"/>
  <c r="F64" i="174"/>
  <c r="F66" i="174"/>
  <c r="F63" i="174"/>
  <c r="O71" i="134"/>
  <c r="O73" i="134" s="1"/>
  <c r="M71" i="134"/>
  <c r="M73" i="134" s="1"/>
  <c r="N71" i="134"/>
  <c r="N73" i="134" s="1"/>
  <c r="D77" i="171"/>
  <c r="D79" i="171" s="1"/>
  <c r="E77" i="171"/>
  <c r="E79" i="171" s="1"/>
  <c r="D66" i="174"/>
  <c r="D63" i="174"/>
  <c r="D64" i="174"/>
  <c r="P69" i="174"/>
  <c r="P68" i="174"/>
  <c r="P63" i="174"/>
  <c r="F79" i="171" l="1"/>
  <c r="D65" i="174"/>
  <c r="G69" i="174"/>
  <c r="G68" i="174"/>
  <c r="F65" i="174"/>
  <c r="G66" i="174"/>
  <c r="G63" i="174"/>
  <c r="G64" i="174"/>
  <c r="G65" i="174" s="1"/>
  <c r="H61" i="174"/>
  <c r="H62" i="174" s="1"/>
  <c r="H71" i="174" s="1"/>
  <c r="O62" i="62"/>
  <c r="H68" i="174" l="1"/>
  <c r="H69" i="174"/>
  <c r="H63" i="174"/>
  <c r="I61" i="174"/>
  <c r="I62" i="174" s="1"/>
  <c r="I71" i="174" s="1"/>
  <c r="H66" i="174"/>
  <c r="H64" i="174"/>
  <c r="H65" i="174" s="1"/>
  <c r="F28" i="171"/>
  <c r="E13" i="173"/>
  <c r="F13" i="173"/>
  <c r="G13" i="173"/>
  <c r="E14" i="173"/>
  <c r="F14" i="173"/>
  <c r="G14" i="173"/>
  <c r="H47" i="69"/>
  <c r="C49" i="85"/>
  <c r="I68" i="174" l="1"/>
  <c r="I69" i="174"/>
  <c r="J61" i="174"/>
  <c r="J62" i="174" s="1"/>
  <c r="J71" i="174" s="1"/>
  <c r="I66" i="174"/>
  <c r="I63" i="174"/>
  <c r="I64" i="174"/>
  <c r="I65" i="174" s="1"/>
  <c r="E44" i="62"/>
  <c r="E47" i="62"/>
  <c r="E46" i="62"/>
  <c r="E45" i="62"/>
  <c r="O28" i="62"/>
  <c r="P28" i="62" s="1"/>
  <c r="C33" i="174"/>
  <c r="F14" i="134"/>
  <c r="F16" i="174"/>
  <c r="F12" i="174"/>
  <c r="F8" i="174"/>
  <c r="F9" i="174"/>
  <c r="F3" i="174"/>
  <c r="F17" i="174"/>
  <c r="F15" i="174"/>
  <c r="F5" i="174"/>
  <c r="J69" i="174" l="1"/>
  <c r="J68" i="174"/>
  <c r="J63" i="174"/>
  <c r="K61" i="174"/>
  <c r="K62" i="174" s="1"/>
  <c r="K71" i="174" s="1"/>
  <c r="J66" i="174"/>
  <c r="J64" i="174"/>
  <c r="J65" i="174" s="1"/>
  <c r="C42" i="171"/>
  <c r="C158" i="85"/>
  <c r="C147" i="85"/>
  <c r="C157" i="85" s="1"/>
  <c r="C146" i="85"/>
  <c r="C156" i="85" s="1"/>
  <c r="C144" i="85"/>
  <c r="C154" i="85" s="1"/>
  <c r="C145" i="85"/>
  <c r="C155" i="85" s="1"/>
  <c r="C143" i="85"/>
  <c r="C153" i="85" s="1"/>
  <c r="F129" i="85"/>
  <c r="B132" i="85"/>
  <c r="F142" i="85"/>
  <c r="F152" i="85" s="1"/>
  <c r="G126" i="85"/>
  <c r="H126" i="85" s="1"/>
  <c r="H129" i="85" s="1"/>
  <c r="F130" i="85"/>
  <c r="F128" i="85"/>
  <c r="F127" i="85"/>
  <c r="H114" i="85"/>
  <c r="H115" i="85"/>
  <c r="H116" i="85"/>
  <c r="H113" i="85"/>
  <c r="H97" i="85"/>
  <c r="R78" i="63"/>
  <c r="Q78" i="63"/>
  <c r="O80" i="63" s="1"/>
  <c r="F43" i="171"/>
  <c r="O66" i="176"/>
  <c r="R154" i="85"/>
  <c r="N37" i="63"/>
  <c r="D160" i="85"/>
  <c r="R147" i="85"/>
  <c r="R146" i="85"/>
  <c r="H14" i="63"/>
  <c r="H10" i="171"/>
  <c r="O67" i="176"/>
  <c r="R144" i="85"/>
  <c r="R157" i="85"/>
  <c r="R153" i="85"/>
  <c r="R130" i="85"/>
  <c r="R155" i="85"/>
  <c r="R156" i="85"/>
  <c r="O64" i="176"/>
  <c r="O65" i="176"/>
  <c r="O53" i="63"/>
  <c r="R143" i="85"/>
  <c r="O68" i="176"/>
  <c r="R145" i="85"/>
  <c r="H40" i="171"/>
  <c r="F143" i="85" l="1"/>
  <c r="F153" i="85"/>
  <c r="F157" i="85"/>
  <c r="F155" i="85"/>
  <c r="F146" i="85"/>
  <c r="F156" i="85"/>
  <c r="H143" i="85"/>
  <c r="H153" i="85"/>
  <c r="F144" i="85"/>
  <c r="F154" i="85"/>
  <c r="K69" i="174"/>
  <c r="K68" i="174"/>
  <c r="G142" i="85"/>
  <c r="G152" i="85" s="1"/>
  <c r="K64" i="174"/>
  <c r="K66" i="174"/>
  <c r="K63" i="174"/>
  <c r="L61" i="174"/>
  <c r="L62" i="174" s="1"/>
  <c r="L71" i="174" s="1"/>
  <c r="F145" i="85"/>
  <c r="F147" i="85"/>
  <c r="G127" i="85"/>
  <c r="G128" i="85"/>
  <c r="H142" i="85"/>
  <c r="H152" i="85" s="1"/>
  <c r="G129" i="85"/>
  <c r="G130" i="85"/>
  <c r="H127" i="85"/>
  <c r="I126" i="85"/>
  <c r="H128" i="85"/>
  <c r="H130" i="85"/>
  <c r="C11" i="177"/>
  <c r="F158" i="85" l="1"/>
  <c r="G143" i="85"/>
  <c r="G153" i="85"/>
  <c r="L68" i="174"/>
  <c r="L69" i="174"/>
  <c r="H146" i="85"/>
  <c r="H156" i="85"/>
  <c r="G146" i="85"/>
  <c r="G156" i="85"/>
  <c r="H155" i="85"/>
  <c r="H157" i="85"/>
  <c r="G157" i="85"/>
  <c r="G155" i="85"/>
  <c r="H144" i="85"/>
  <c r="H154" i="85"/>
  <c r="G144" i="85"/>
  <c r="G154" i="85"/>
  <c r="L63" i="174"/>
  <c r="M61" i="174"/>
  <c r="M62" i="174" s="1"/>
  <c r="M71" i="174" s="1"/>
  <c r="L64" i="174"/>
  <c r="L66" i="174"/>
  <c r="K65" i="174"/>
  <c r="H147" i="85"/>
  <c r="H145" i="85"/>
  <c r="G147" i="85"/>
  <c r="G145" i="85"/>
  <c r="F148" i="85"/>
  <c r="I129" i="85"/>
  <c r="I142" i="85"/>
  <c r="I152" i="85" s="1"/>
  <c r="I127" i="85"/>
  <c r="I128" i="85"/>
  <c r="J126" i="85"/>
  <c r="I130" i="85"/>
  <c r="G42" i="180"/>
  <c r="G46" i="180" s="1"/>
  <c r="H37" i="180"/>
  <c r="I37" i="180" s="1"/>
  <c r="J37" i="180" s="1"/>
  <c r="K37" i="180" s="1"/>
  <c r="L37" i="180" s="1"/>
  <c r="M37" i="180" s="1"/>
  <c r="N37" i="180" s="1"/>
  <c r="O37" i="180" s="1"/>
  <c r="C45" i="175"/>
  <c r="H3" i="180"/>
  <c r="I3" i="180" s="1"/>
  <c r="H6" i="180"/>
  <c r="I6" i="180"/>
  <c r="J6" i="180"/>
  <c r="K6" i="180"/>
  <c r="L6" i="180"/>
  <c r="M6" i="180"/>
  <c r="N6" i="180"/>
  <c r="G6" i="180"/>
  <c r="H43" i="180"/>
  <c r="H42" i="180"/>
  <c r="H46" i="180"/>
  <c r="G8" i="180"/>
  <c r="G9" i="180"/>
  <c r="H47" i="180"/>
  <c r="H158" i="85" l="1"/>
  <c r="G148" i="85"/>
  <c r="I155" i="85"/>
  <c r="I157" i="85"/>
  <c r="H148" i="85"/>
  <c r="G43" i="180"/>
  <c r="G47" i="180" s="1"/>
  <c r="I143" i="85"/>
  <c r="I153" i="85"/>
  <c r="L65" i="174"/>
  <c r="I146" i="85"/>
  <c r="I156" i="85"/>
  <c r="M68" i="174"/>
  <c r="M69" i="174"/>
  <c r="G158" i="85"/>
  <c r="I144" i="85"/>
  <c r="I154" i="85"/>
  <c r="M66" i="174"/>
  <c r="M64" i="174"/>
  <c r="N61" i="174"/>
  <c r="N62" i="174" s="1"/>
  <c r="N71" i="174" s="1"/>
  <c r="M63" i="174"/>
  <c r="I147" i="85"/>
  <c r="I145" i="85"/>
  <c r="J142" i="85"/>
  <c r="J152" i="85" s="1"/>
  <c r="J129" i="85"/>
  <c r="K126" i="85"/>
  <c r="J130" i="85"/>
  <c r="J128" i="85"/>
  <c r="J127" i="85"/>
  <c r="J3" i="180"/>
  <c r="K3" i="180" s="1"/>
  <c r="L3" i="180" s="1"/>
  <c r="M3" i="180" s="1"/>
  <c r="N3" i="180" s="1"/>
  <c r="F8" i="180"/>
  <c r="F29" i="178"/>
  <c r="F31" i="178" s="1"/>
  <c r="C88" i="177"/>
  <c r="G25" i="178"/>
  <c r="G26" i="178"/>
  <c r="G27" i="178"/>
  <c r="G24" i="178"/>
  <c r="D83" i="177" s="1"/>
  <c r="I148" i="85" l="1"/>
  <c r="J143" i="85"/>
  <c r="J153" i="85"/>
  <c r="I158" i="85"/>
  <c r="J155" i="85"/>
  <c r="J157" i="85"/>
  <c r="J146" i="85"/>
  <c r="J156" i="85"/>
  <c r="J144" i="85"/>
  <c r="J154" i="85"/>
  <c r="N68" i="174"/>
  <c r="N69" i="174"/>
  <c r="N64" i="174"/>
  <c r="N63" i="174"/>
  <c r="O61" i="174"/>
  <c r="O62" i="174" s="1"/>
  <c r="O71" i="174" s="1"/>
  <c r="N66" i="174"/>
  <c r="M65" i="174"/>
  <c r="J145" i="85"/>
  <c r="J147" i="85"/>
  <c r="K129" i="85"/>
  <c r="K142" i="85"/>
  <c r="K152" i="85" s="1"/>
  <c r="K130" i="85"/>
  <c r="K127" i="85"/>
  <c r="K128" i="85"/>
  <c r="L126" i="85"/>
  <c r="F9" i="180"/>
  <c r="G29" i="178"/>
  <c r="O69" i="174" l="1"/>
  <c r="O68" i="174"/>
  <c r="K146" i="85"/>
  <c r="K156" i="85"/>
  <c r="K157" i="85"/>
  <c r="K155" i="85"/>
  <c r="K144" i="85"/>
  <c r="K154" i="85"/>
  <c r="K143" i="85"/>
  <c r="K153" i="85"/>
  <c r="J148" i="85"/>
  <c r="J158" i="85"/>
  <c r="O64" i="174"/>
  <c r="O66" i="174"/>
  <c r="O63" i="174"/>
  <c r="N65" i="174"/>
  <c r="K147" i="85"/>
  <c r="K145" i="85"/>
  <c r="L129" i="85"/>
  <c r="L142" i="85"/>
  <c r="L152" i="85" s="1"/>
  <c r="L127" i="85"/>
  <c r="L128" i="85"/>
  <c r="L130" i="85"/>
  <c r="M126" i="85"/>
  <c r="C73" i="177"/>
  <c r="C72" i="177"/>
  <c r="C74" i="177" s="1"/>
  <c r="G57" i="176"/>
  <c r="O58" i="176"/>
  <c r="O49" i="176"/>
  <c r="O60" i="176"/>
  <c r="O46" i="176"/>
  <c r="O45" i="176"/>
  <c r="O59" i="176"/>
  <c r="O52" i="176"/>
  <c r="O57" i="176"/>
  <c r="O50" i="176"/>
  <c r="O53" i="176"/>
  <c r="O51" i="176"/>
  <c r="O61" i="176"/>
  <c r="O54" i="176"/>
  <c r="L144" i="85" l="1"/>
  <c r="L154" i="85"/>
  <c r="L146" i="85"/>
  <c r="L156" i="85"/>
  <c r="L157" i="85"/>
  <c r="L155" i="85"/>
  <c r="L143" i="85"/>
  <c r="L153" i="85"/>
  <c r="L158" i="85" s="1"/>
  <c r="K148" i="85"/>
  <c r="K158" i="85"/>
  <c r="O65" i="174"/>
  <c r="L147" i="85"/>
  <c r="L145" i="85"/>
  <c r="M129" i="85"/>
  <c r="M142" i="85"/>
  <c r="M152" i="85" s="1"/>
  <c r="M127" i="85"/>
  <c r="M130" i="85"/>
  <c r="M128" i="85"/>
  <c r="N126" i="85"/>
  <c r="C75" i="177"/>
  <c r="G46" i="176"/>
  <c r="G73" i="176" s="1"/>
  <c r="G45" i="176"/>
  <c r="M157" i="85" l="1"/>
  <c r="M155" i="85"/>
  <c r="M143" i="85"/>
  <c r="M153" i="85"/>
  <c r="L148" i="85"/>
  <c r="M146" i="85"/>
  <c r="M156" i="85"/>
  <c r="M144" i="85"/>
  <c r="M154" i="85"/>
  <c r="M145" i="85"/>
  <c r="M147" i="85"/>
  <c r="N142" i="85"/>
  <c r="N152" i="85" s="1"/>
  <c r="N129" i="85"/>
  <c r="O126" i="85"/>
  <c r="N127" i="85"/>
  <c r="N130" i="85"/>
  <c r="N128" i="85"/>
  <c r="G60" i="176"/>
  <c r="G59" i="176"/>
  <c r="N143" i="85" l="1"/>
  <c r="N153" i="85"/>
  <c r="N157" i="85"/>
  <c r="N155" i="85"/>
  <c r="M158" i="85"/>
  <c r="N144" i="85"/>
  <c r="N154" i="85"/>
  <c r="M148" i="85"/>
  <c r="N146" i="85"/>
  <c r="N156" i="85"/>
  <c r="N145" i="85"/>
  <c r="N147" i="85"/>
  <c r="O129" i="85"/>
  <c r="O142" i="85"/>
  <c r="O152" i="85" s="1"/>
  <c r="O130" i="85"/>
  <c r="O128" i="85"/>
  <c r="O127" i="85"/>
  <c r="P126" i="85"/>
  <c r="G58" i="176"/>
  <c r="O157" i="85" l="1"/>
  <c r="O155" i="85"/>
  <c r="O143" i="85"/>
  <c r="O153" i="85"/>
  <c r="O146" i="85"/>
  <c r="O156" i="85"/>
  <c r="O144" i="85"/>
  <c r="O148" i="85" s="1"/>
  <c r="O154" i="85"/>
  <c r="N158" i="85"/>
  <c r="N148" i="85"/>
  <c r="O147" i="85"/>
  <c r="O145" i="85"/>
  <c r="P129" i="85"/>
  <c r="P142" i="85"/>
  <c r="P152" i="85" s="1"/>
  <c r="P127" i="85"/>
  <c r="P130" i="85"/>
  <c r="P128" i="85"/>
  <c r="Q126" i="85"/>
  <c r="F54" i="176"/>
  <c r="G49" i="176" s="1"/>
  <c r="G64" i="176" s="1"/>
  <c r="H44" i="176"/>
  <c r="O11" i="176"/>
  <c r="O12" i="176"/>
  <c r="O10" i="176"/>
  <c r="P143" i="85" l="1"/>
  <c r="P153" i="85"/>
  <c r="O158" i="85"/>
  <c r="P155" i="85"/>
  <c r="P157" i="85"/>
  <c r="P146" i="85"/>
  <c r="P156" i="85"/>
  <c r="P144" i="85"/>
  <c r="P154" i="85"/>
  <c r="P147" i="85"/>
  <c r="P145" i="85"/>
  <c r="Q129" i="85"/>
  <c r="Q142" i="85"/>
  <c r="Q152" i="85" s="1"/>
  <c r="Q127" i="85"/>
  <c r="Q130" i="85"/>
  <c r="Q128" i="85"/>
  <c r="G50" i="176"/>
  <c r="G65" i="176" s="1"/>
  <c r="I44" i="176"/>
  <c r="J44" i="176" s="1"/>
  <c r="H45" i="176"/>
  <c r="H46" i="176"/>
  <c r="H73" i="176" s="1"/>
  <c r="Q143" i="85" l="1"/>
  <c r="Q153" i="85"/>
  <c r="Q144" i="85"/>
  <c r="Q154" i="85"/>
  <c r="P158" i="85"/>
  <c r="Q157" i="85"/>
  <c r="Q155" i="85"/>
  <c r="Q146" i="85"/>
  <c r="Q156" i="85"/>
  <c r="P148" i="85"/>
  <c r="Q147" i="85"/>
  <c r="Q145" i="85"/>
  <c r="H59" i="176"/>
  <c r="H60" i="176"/>
  <c r="J46" i="176"/>
  <c r="J73" i="176" s="1"/>
  <c r="J45" i="176"/>
  <c r="I45" i="176"/>
  <c r="I46" i="176"/>
  <c r="I73" i="176" s="1"/>
  <c r="K44" i="176"/>
  <c r="Q158" i="85" l="1"/>
  <c r="Q148" i="85"/>
  <c r="J59" i="176"/>
  <c r="J60" i="176"/>
  <c r="I60" i="176"/>
  <c r="I59" i="176"/>
  <c r="K45" i="176"/>
  <c r="K46" i="176"/>
  <c r="K73" i="176" s="1"/>
  <c r="L44" i="176"/>
  <c r="L46" i="176" l="1"/>
  <c r="L45" i="176"/>
  <c r="L72" i="176" s="1"/>
  <c r="M44" i="176"/>
  <c r="L51" i="176" l="1"/>
  <c r="L52" i="176"/>
  <c r="M45" i="176"/>
  <c r="M72" i="176" s="1"/>
  <c r="M46" i="176"/>
  <c r="N44" i="176"/>
  <c r="F40" i="176" s="1"/>
  <c r="G40" i="176" l="1"/>
  <c r="J52" i="176" s="1"/>
  <c r="J67" i="176" s="1"/>
  <c r="M51" i="176"/>
  <c r="M52" i="176"/>
  <c r="N46" i="176"/>
  <c r="N45" i="176"/>
  <c r="N72" i="176" s="1"/>
  <c r="H52" i="176" l="1"/>
  <c r="H67" i="176" s="1"/>
  <c r="K52" i="176"/>
  <c r="K51" i="176"/>
  <c r="H51" i="176"/>
  <c r="J51" i="176"/>
  <c r="G52" i="176"/>
  <c r="G67" i="176" s="1"/>
  <c r="I51" i="176"/>
  <c r="G51" i="176"/>
  <c r="I52" i="176"/>
  <c r="I67" i="176" s="1"/>
  <c r="N51" i="176"/>
  <c r="N52" i="176"/>
  <c r="K72" i="176" l="1"/>
  <c r="G66" i="176"/>
  <c r="G72" i="176"/>
  <c r="H66" i="176"/>
  <c r="H72" i="176"/>
  <c r="I66" i="176"/>
  <c r="I72" i="176"/>
  <c r="J66" i="176"/>
  <c r="J72" i="176"/>
  <c r="E52" i="176"/>
  <c r="E51" i="176"/>
  <c r="G53" i="176"/>
  <c r="G54" i="176" l="1"/>
  <c r="G61" i="176"/>
  <c r="G71" i="176"/>
  <c r="G68" i="176"/>
  <c r="G4" i="176"/>
  <c r="H4" i="176" s="1"/>
  <c r="I4" i="176" s="1"/>
  <c r="J4" i="176" s="1"/>
  <c r="K4" i="176" s="1"/>
  <c r="L4" i="176" s="1"/>
  <c r="M4" i="176" s="1"/>
  <c r="N4" i="176" s="1"/>
  <c r="H3" i="176"/>
  <c r="I3" i="176" s="1"/>
  <c r="J3" i="176" s="1"/>
  <c r="K3" i="176" s="1"/>
  <c r="L3" i="176" s="1"/>
  <c r="M3" i="176" s="1"/>
  <c r="N3" i="176" s="1"/>
  <c r="F7" i="175"/>
  <c r="F9" i="175" s="1"/>
  <c r="D9" i="175"/>
  <c r="D10" i="175"/>
  <c r="H3" i="175"/>
  <c r="I3" i="175" s="1"/>
  <c r="H36" i="175"/>
  <c r="I36" i="175" s="1"/>
  <c r="J36" i="175" s="1"/>
  <c r="K36" i="175" s="1"/>
  <c r="L36" i="175" s="1"/>
  <c r="G40" i="175"/>
  <c r="H40" i="175"/>
  <c r="H43" i="175" s="1"/>
  <c r="I40" i="175"/>
  <c r="I43" i="175" s="1"/>
  <c r="J40" i="175"/>
  <c r="K40" i="175"/>
  <c r="L40" i="175"/>
  <c r="H30" i="23"/>
  <c r="G30" i="23"/>
  <c r="O14" i="26"/>
  <c r="Z9" i="11"/>
  <c r="G18" i="26"/>
  <c r="H98" i="85"/>
  <c r="G10" i="23"/>
  <c r="P62" i="174"/>
  <c r="I68" i="69"/>
  <c r="F5" i="69"/>
  <c r="F7" i="69"/>
  <c r="H37" i="171"/>
  <c r="E48" i="62"/>
  <c r="I80" i="69"/>
  <c r="S4" i="86"/>
  <c r="Q28" i="62"/>
  <c r="O20" i="26"/>
  <c r="H27" i="171"/>
  <c r="G10" i="175"/>
  <c r="E61" i="134"/>
  <c r="H75" i="69"/>
  <c r="G80" i="63"/>
  <c r="I67" i="69"/>
  <c r="L4" i="11"/>
  <c r="G66" i="85"/>
  <c r="I52" i="69"/>
  <c r="G53" i="63"/>
  <c r="G14" i="26"/>
  <c r="I7" i="86"/>
  <c r="I45" i="69"/>
  <c r="G20" i="26"/>
  <c r="F28" i="62"/>
  <c r="H117" i="85"/>
  <c r="G6" i="23"/>
  <c r="P79" i="62"/>
  <c r="F4" i="69"/>
  <c r="G15" i="26"/>
  <c r="G16" i="26"/>
  <c r="L5" i="11"/>
  <c r="F6" i="62"/>
  <c r="I63" i="69"/>
  <c r="I14" i="173"/>
  <c r="O17" i="26"/>
  <c r="S7" i="86"/>
  <c r="Z10" i="11"/>
  <c r="R20" i="86"/>
  <c r="E12" i="85"/>
  <c r="F5" i="62"/>
  <c r="G9" i="23"/>
  <c r="D39" i="69"/>
  <c r="G11" i="23"/>
  <c r="P61" i="174"/>
  <c r="G15" i="134"/>
  <c r="O26" i="86"/>
  <c r="H45" i="175"/>
  <c r="Q29" i="62"/>
  <c r="P64" i="174"/>
  <c r="G19" i="26"/>
  <c r="G4" i="23"/>
  <c r="F35" i="170"/>
  <c r="E33" i="174"/>
  <c r="H13" i="171"/>
  <c r="F30" i="62"/>
  <c r="L12" i="11"/>
  <c r="I47" i="69"/>
  <c r="O79" i="62"/>
  <c r="I46" i="69"/>
  <c r="G12" i="23"/>
  <c r="M40" i="175"/>
  <c r="H46" i="175"/>
  <c r="G14" i="134"/>
  <c r="I79" i="69"/>
  <c r="Q18" i="134"/>
  <c r="G7" i="175"/>
  <c r="I13" i="173"/>
  <c r="I50" i="69"/>
  <c r="G5" i="23"/>
  <c r="E11" i="170"/>
  <c r="E30" i="69"/>
  <c r="P66" i="174"/>
  <c r="Q30" i="62"/>
  <c r="H28" i="171"/>
  <c r="G18" i="134"/>
  <c r="D38" i="63"/>
  <c r="I4" i="86"/>
  <c r="L9" i="11"/>
  <c r="L13" i="11"/>
  <c r="F9" i="69"/>
  <c r="F6" i="69"/>
  <c r="Q7" i="62"/>
  <c r="G8" i="23"/>
  <c r="G7" i="23"/>
  <c r="D31" i="23"/>
  <c r="I85" i="69"/>
  <c r="M43" i="175"/>
  <c r="O48" i="62"/>
  <c r="I12" i="85"/>
  <c r="O7" i="62"/>
  <c r="P7" i="62"/>
  <c r="H38" i="63"/>
  <c r="H20" i="86"/>
  <c r="Q15" i="134"/>
  <c r="G9" i="175"/>
  <c r="H49" i="175"/>
  <c r="E66" i="62"/>
  <c r="E60" i="134"/>
  <c r="I62" i="69"/>
  <c r="G17" i="134"/>
  <c r="Z11" i="11"/>
  <c r="P65" i="174"/>
  <c r="F34" i="170"/>
  <c r="F8" i="69"/>
  <c r="F29" i="62"/>
  <c r="I30" i="23"/>
  <c r="M28" i="86"/>
  <c r="H12" i="171"/>
  <c r="F4" i="62"/>
  <c r="O66" i="62"/>
  <c r="I84" i="69"/>
  <c r="G83" i="85"/>
  <c r="G31" i="23"/>
  <c r="L8" i="11"/>
  <c r="F10" i="69"/>
  <c r="E26" i="86"/>
  <c r="I51" i="69"/>
  <c r="C28" i="86"/>
  <c r="E7" i="176" l="1"/>
  <c r="G10" i="176" s="1"/>
  <c r="G49" i="175"/>
  <c r="J3" i="175"/>
  <c r="K3" i="175" s="1"/>
  <c r="L3" i="175" s="1"/>
  <c r="M3" i="175" s="1"/>
  <c r="N3" i="175" s="1"/>
  <c r="L43" i="175"/>
  <c r="K43" i="175"/>
  <c r="J43" i="175"/>
  <c r="G46" i="175"/>
  <c r="G43" i="175"/>
  <c r="D33" i="174"/>
  <c r="H11" i="176" l="1"/>
  <c r="H10" i="176"/>
  <c r="L10" i="176"/>
  <c r="M11" i="176"/>
  <c r="K12" i="176"/>
  <c r="K11" i="176"/>
  <c r="K10" i="176"/>
  <c r="M12" i="176"/>
  <c r="I12" i="176"/>
  <c r="I11" i="176"/>
  <c r="I10" i="176"/>
  <c r="M10" i="176"/>
  <c r="L12" i="176"/>
  <c r="H12" i="176"/>
  <c r="J11" i="176"/>
  <c r="N11" i="176"/>
  <c r="J10" i="176"/>
  <c r="N10" i="176"/>
  <c r="G12" i="176"/>
  <c r="G11" i="176"/>
  <c r="L11" i="176"/>
  <c r="L14" i="176" s="1"/>
  <c r="J12" i="176"/>
  <c r="N12" i="176"/>
  <c r="F10" i="175"/>
  <c r="G45" i="175"/>
  <c r="D30" i="174"/>
  <c r="D29" i="174"/>
  <c r="D28" i="174"/>
  <c r="D27" i="174"/>
  <c r="G14" i="176" l="1"/>
  <c r="N14" i="176"/>
  <c r="M14" i="176"/>
  <c r="J14" i="176"/>
  <c r="I14" i="176"/>
  <c r="K14" i="176"/>
  <c r="H14" i="176"/>
  <c r="H14" i="173" l="1"/>
  <c r="H13" i="173"/>
  <c r="G37" i="171"/>
  <c r="G4" i="171"/>
  <c r="G5" i="171"/>
  <c r="G6" i="171"/>
  <c r="G7" i="171"/>
  <c r="G8" i="171"/>
  <c r="G9" i="171"/>
  <c r="G10" i="171"/>
  <c r="G13" i="171" l="1"/>
  <c r="D60" i="134"/>
  <c r="C60" i="134"/>
  <c r="E34" i="170" l="1"/>
  <c r="D34" i="170"/>
  <c r="D10" i="170"/>
  <c r="E10" i="170" s="1"/>
  <c r="D8" i="170"/>
  <c r="E8" i="170" s="1"/>
  <c r="D7" i="170"/>
  <c r="E7" i="170" s="1"/>
  <c r="D6" i="170"/>
  <c r="E6" i="170" s="1"/>
  <c r="D5" i="170"/>
  <c r="E5" i="170" s="1"/>
  <c r="D4" i="170"/>
  <c r="E4" i="170" s="1"/>
  <c r="D9" i="170" l="1"/>
  <c r="E9" i="170" s="1"/>
  <c r="F15" i="134"/>
  <c r="O63" i="62"/>
  <c r="O64" i="62"/>
  <c r="P62" i="62"/>
  <c r="P65" i="62"/>
  <c r="P64" i="62"/>
  <c r="P63" i="62"/>
  <c r="P47" i="62"/>
  <c r="P44" i="62"/>
  <c r="P46" i="62"/>
  <c r="P45" i="62"/>
  <c r="O29" i="62"/>
  <c r="P29" i="62" s="1"/>
  <c r="O30" i="62"/>
  <c r="P30" i="62" s="1"/>
  <c r="O5" i="62"/>
  <c r="O4" i="62"/>
  <c r="E63" i="62" l="1"/>
  <c r="F63" i="62" s="1"/>
  <c r="E64" i="62"/>
  <c r="F64" i="62" s="1"/>
  <c r="E65" i="62"/>
  <c r="F65" i="62" s="1"/>
  <c r="E62" i="62"/>
  <c r="F62" i="62" s="1"/>
  <c r="M27" i="86"/>
  <c r="O25" i="86"/>
  <c r="N25" i="86"/>
  <c r="M25" i="86"/>
  <c r="Q23" i="86"/>
  <c r="Q22" i="86"/>
  <c r="Q21" i="86"/>
  <c r="Q20" i="86"/>
  <c r="R7" i="86"/>
  <c r="R4" i="86"/>
  <c r="G68" i="69"/>
  <c r="G63" i="69"/>
  <c r="G62" i="69"/>
  <c r="G51" i="69"/>
  <c r="H46" i="69"/>
  <c r="H45" i="69"/>
  <c r="G45" i="69"/>
  <c r="G46" i="69"/>
  <c r="G47" i="69"/>
  <c r="D10" i="69"/>
  <c r="Y11" i="11"/>
  <c r="Y9" i="11"/>
  <c r="Y10" i="11"/>
  <c r="G50" i="69" l="1"/>
  <c r="G84" i="69"/>
  <c r="F20" i="26"/>
  <c r="N20" i="26"/>
  <c r="N17" i="26"/>
  <c r="N14" i="26"/>
  <c r="F19" i="26"/>
  <c r="F18" i="26"/>
  <c r="F16" i="26"/>
  <c r="F15" i="26"/>
  <c r="F14" i="26"/>
  <c r="E8" i="132"/>
  <c r="E9" i="132"/>
  <c r="E10" i="132"/>
  <c r="E11" i="132"/>
  <c r="E12" i="132"/>
  <c r="E13" i="132"/>
  <c r="E14" i="132"/>
  <c r="E15" i="132"/>
  <c r="E16" i="132"/>
  <c r="E17" i="132"/>
  <c r="E18" i="132"/>
  <c r="E7" i="132"/>
  <c r="E30" i="132"/>
  <c r="E31" i="132"/>
  <c r="E32" i="132"/>
  <c r="E33" i="132"/>
  <c r="E34" i="132"/>
  <c r="E35" i="132"/>
  <c r="E36" i="132"/>
  <c r="E37" i="132"/>
  <c r="E38" i="132"/>
  <c r="E39" i="132"/>
  <c r="E40" i="132"/>
  <c r="E29" i="132"/>
  <c r="L30" i="132"/>
  <c r="L31" i="132"/>
  <c r="L32" i="132"/>
  <c r="L33" i="132"/>
  <c r="L34" i="132"/>
  <c r="L35" i="132"/>
  <c r="L36" i="132"/>
  <c r="L37" i="132"/>
  <c r="L38" i="132"/>
  <c r="L39" i="132"/>
  <c r="L40" i="132"/>
  <c r="L29" i="132"/>
  <c r="L111" i="158" l="1"/>
  <c r="M111" i="158"/>
  <c r="N111" i="158"/>
  <c r="L112" i="158"/>
  <c r="M112" i="158"/>
  <c r="N112" i="158"/>
  <c r="L113" i="158"/>
  <c r="M113" i="158"/>
  <c r="N113" i="158"/>
  <c r="K112" i="158"/>
  <c r="K113" i="158"/>
  <c r="K111" i="158"/>
  <c r="C47" i="131" l="1"/>
  <c r="E26" i="131"/>
  <c r="E20" i="131"/>
  <c r="F13" i="131"/>
  <c r="C10" i="131"/>
  <c r="F4" i="131"/>
  <c r="C27" i="86"/>
  <c r="E25" i="86"/>
  <c r="D25" i="86"/>
  <c r="C25" i="86"/>
  <c r="G23" i="86"/>
  <c r="G22" i="86"/>
  <c r="G21" i="86"/>
  <c r="G20" i="86"/>
  <c r="H7" i="86"/>
  <c r="H4" i="86"/>
  <c r="E82" i="85"/>
  <c r="C82" i="85"/>
  <c r="E65" i="85"/>
  <c r="C65" i="85"/>
  <c r="G48" i="85"/>
  <c r="E48" i="85"/>
  <c r="I11" i="85"/>
  <c r="E11" i="85"/>
  <c r="D11" i="85"/>
  <c r="D30" i="69"/>
  <c r="E10" i="69"/>
  <c r="D8" i="69"/>
  <c r="E8" i="69" s="1"/>
  <c r="D7" i="69"/>
  <c r="E7" i="69" s="1"/>
  <c r="D6" i="69"/>
  <c r="E6" i="69" s="1"/>
  <c r="D5" i="69"/>
  <c r="E5" i="69" s="1"/>
  <c r="D4" i="69"/>
  <c r="F80" i="63"/>
  <c r="G14" i="63"/>
  <c r="F47" i="62"/>
  <c r="F46" i="62"/>
  <c r="F45" i="62"/>
  <c r="F44" i="62"/>
  <c r="E6" i="62"/>
  <c r="E5" i="62"/>
  <c r="E4" i="62"/>
  <c r="F30" i="23"/>
  <c r="E30" i="23"/>
  <c r="D30" i="23"/>
  <c r="D12" i="23"/>
  <c r="F12" i="23" s="1"/>
  <c r="F11" i="23"/>
  <c r="F10" i="23"/>
  <c r="D9" i="23"/>
  <c r="F9" i="23" s="1"/>
  <c r="F8" i="23"/>
  <c r="F7" i="23"/>
  <c r="F6" i="23"/>
  <c r="F5" i="23"/>
  <c r="F4" i="23"/>
  <c r="K13" i="11"/>
  <c r="K12" i="11"/>
  <c r="K9" i="11"/>
  <c r="K8" i="11"/>
  <c r="K5" i="11"/>
  <c r="K4" i="11"/>
  <c r="C34" i="4"/>
  <c r="C33" i="4"/>
  <c r="C32" i="4"/>
  <c r="C30" i="4"/>
  <c r="C22" i="4"/>
  <c r="C21" i="4"/>
  <c r="C18" i="4"/>
  <c r="C17" i="4"/>
  <c r="C15" i="4"/>
  <c r="E4" i="69" l="1"/>
  <c r="D9" i="69"/>
  <c r="E9" i="69" s="1"/>
  <c r="H49" i="176"/>
  <c r="H50" i="176" l="1"/>
  <c r="H53" i="176" l="1"/>
  <c r="H54" i="176" s="1"/>
  <c r="I49" i="176" l="1"/>
  <c r="I50" i="176"/>
  <c r="I53" i="176" l="1"/>
  <c r="I54" i="176" s="1"/>
  <c r="J49" i="176" l="1"/>
  <c r="J50" i="176" s="1"/>
  <c r="J53" i="176" s="1"/>
  <c r="J54" i="176" l="1"/>
  <c r="K49" i="176" l="1"/>
  <c r="K50" i="176" l="1"/>
  <c r="K53" i="176" l="1"/>
  <c r="K54" i="176" s="1"/>
  <c r="L49" i="176" l="1"/>
  <c r="L50" i="176" l="1"/>
  <c r="L53" i="176" l="1"/>
  <c r="L54" i="176" s="1"/>
  <c r="M49" i="176" l="1"/>
  <c r="M50" i="176" l="1"/>
  <c r="K60" i="176"/>
  <c r="K67" i="176" s="1"/>
  <c r="K59" i="176"/>
  <c r="K66" i="176" s="1"/>
  <c r="M53" i="176" l="1"/>
  <c r="M54" i="176" s="1"/>
  <c r="N49" i="176" l="1"/>
  <c r="E49" i="176" l="1"/>
  <c r="N50" i="176"/>
  <c r="N53" i="176" s="1"/>
  <c r="E53" i="176" s="1"/>
  <c r="M60" i="176" l="1"/>
  <c r="M67" i="176" s="1"/>
  <c r="L59" i="176"/>
  <c r="L66" i="176" s="1"/>
  <c r="M59" i="176"/>
  <c r="M66" i="176" s="1"/>
  <c r="M73" i="176" s="1"/>
  <c r="N59" i="176"/>
  <c r="N60" i="176"/>
  <c r="N67" i="176" s="1"/>
  <c r="L60" i="176"/>
  <c r="E50" i="176"/>
  <c r="N54" i="176"/>
  <c r="E59" i="176" l="1"/>
  <c r="N66" i="176"/>
  <c r="L67" i="176"/>
  <c r="E67" i="176" s="1"/>
  <c r="E60" i="176"/>
  <c r="H57" i="176"/>
  <c r="E66" i="176" l="1"/>
  <c r="N73" i="176"/>
  <c r="L73" i="176"/>
  <c r="H64" i="176"/>
  <c r="H58" i="176"/>
  <c r="H61" i="176" s="1"/>
  <c r="H65" i="176" l="1"/>
  <c r="H71" i="176" s="1"/>
  <c r="H68" i="176" l="1"/>
  <c r="I57" i="176"/>
  <c r="I58" i="176" l="1"/>
  <c r="I61" i="176" s="1"/>
  <c r="I64" i="176"/>
  <c r="I65" i="176" l="1"/>
  <c r="I71" i="176" s="1"/>
  <c r="I68" i="176" l="1"/>
  <c r="J57" i="176"/>
  <c r="J58" i="176" l="1"/>
  <c r="J61" i="176" s="1"/>
  <c r="J64" i="176"/>
  <c r="J65" i="176" l="1"/>
  <c r="J71" i="176" s="1"/>
  <c r="J68" i="176" l="1"/>
  <c r="K57" i="176"/>
  <c r="K58" i="176" l="1"/>
  <c r="K65" i="176" s="1"/>
  <c r="K71" i="176" s="1"/>
  <c r="K64" i="176"/>
  <c r="K68" i="176" l="1"/>
  <c r="K61" i="176"/>
  <c r="L57" i="176"/>
  <c r="L64" i="176" l="1"/>
  <c r="L58" i="176"/>
  <c r="L61" i="176" s="1"/>
  <c r="L65" i="176" l="1"/>
  <c r="L71" i="176" s="1"/>
  <c r="L68" i="176" l="1"/>
  <c r="M57" i="176"/>
  <c r="M64" i="176" l="1"/>
  <c r="M58" i="176"/>
  <c r="M61" i="176" s="1"/>
  <c r="M65" i="176" l="1"/>
  <c r="M71" i="176" s="1"/>
  <c r="M68" i="176" l="1"/>
  <c r="N57" i="176"/>
  <c r="E57" i="176" l="1"/>
  <c r="N64" i="176"/>
  <c r="N58" i="176"/>
  <c r="N61" i="176" s="1"/>
  <c r="E64" i="176" l="1"/>
  <c r="E58" i="176"/>
  <c r="N65" i="176"/>
  <c r="N68" i="176" s="1"/>
  <c r="E65" i="176" l="1"/>
  <c r="N71" i="176"/>
</calcChain>
</file>

<file path=xl/sharedStrings.xml><?xml version="1.0" encoding="utf-8"?>
<sst xmlns="http://schemas.openxmlformats.org/spreadsheetml/2006/main" count="1893" uniqueCount="1229">
  <si>
    <t>Jan</t>
  </si>
  <si>
    <t>Feb</t>
  </si>
  <si>
    <t>Mar</t>
  </si>
  <si>
    <t>North</t>
  </si>
  <si>
    <t>South</t>
  </si>
  <si>
    <t>East</t>
  </si>
  <si>
    <t>West</t>
  </si>
  <si>
    <t>Brackets in formula</t>
  </si>
  <si>
    <t>Sometimes you will need to use brackets, (also known as 'braces'), in formula.</t>
  </si>
  <si>
    <t>This is to ensure that the calculations are performed in the order that you need.</t>
  </si>
  <si>
    <r>
      <t xml:space="preserve">The need for brackets occurs when you mix </t>
    </r>
    <r>
      <rPr>
        <sz val="10"/>
        <color indexed="12"/>
        <rFont val="Arial"/>
        <family val="2"/>
      </rPr>
      <t>plus</t>
    </r>
    <r>
      <rPr>
        <sz val="10"/>
        <rFont val="Arial"/>
        <family val="2"/>
      </rPr>
      <t xml:space="preserve"> or </t>
    </r>
    <r>
      <rPr>
        <sz val="10"/>
        <color indexed="12"/>
        <rFont val="Arial"/>
        <family val="2"/>
      </rPr>
      <t>minus</t>
    </r>
    <r>
      <rPr>
        <sz val="10"/>
        <rFont val="Arial"/>
        <family val="2"/>
      </rPr>
      <t xml:space="preserve"> with </t>
    </r>
    <r>
      <rPr>
        <sz val="10"/>
        <color indexed="17"/>
        <rFont val="Arial"/>
        <family val="2"/>
      </rPr>
      <t>divide</t>
    </r>
    <r>
      <rPr>
        <sz val="10"/>
        <rFont val="Arial"/>
        <family val="2"/>
      </rPr>
      <t xml:space="preserve"> or </t>
    </r>
    <r>
      <rPr>
        <sz val="10"/>
        <color indexed="17"/>
        <rFont val="Arial"/>
        <family val="2"/>
      </rPr>
      <t>multiply</t>
    </r>
    <r>
      <rPr>
        <sz val="10"/>
        <rFont val="Arial"/>
        <family val="2"/>
      </rPr>
      <t>.</t>
    </r>
  </si>
  <si>
    <r>
      <t xml:space="preserve">Mathematically speaking the </t>
    </r>
    <r>
      <rPr>
        <sz val="10"/>
        <color indexed="17"/>
        <rFont val="Arial"/>
        <family val="2"/>
      </rPr>
      <t>*</t>
    </r>
    <r>
      <rPr>
        <sz val="10"/>
        <rFont val="Arial"/>
        <family val="2"/>
      </rPr>
      <t xml:space="preserve"> and </t>
    </r>
    <r>
      <rPr>
        <sz val="10"/>
        <color indexed="17"/>
        <rFont val="Arial"/>
        <family val="2"/>
      </rPr>
      <t>/</t>
    </r>
    <r>
      <rPr>
        <sz val="10"/>
        <rFont val="Arial"/>
        <family val="2"/>
      </rPr>
      <t xml:space="preserve"> are more important than </t>
    </r>
    <r>
      <rPr>
        <sz val="10"/>
        <color indexed="12"/>
        <rFont val="Arial"/>
        <family val="2"/>
      </rPr>
      <t>+</t>
    </r>
    <r>
      <rPr>
        <sz val="10"/>
        <rFont val="Arial"/>
        <family val="2"/>
      </rPr>
      <t xml:space="preserve"> and</t>
    </r>
    <r>
      <rPr>
        <sz val="10"/>
        <color indexed="12"/>
        <rFont val="Arial"/>
        <family val="2"/>
      </rPr>
      <t xml:space="preserve"> -</t>
    </r>
    <r>
      <rPr>
        <sz val="10"/>
        <rFont val="Arial"/>
        <family val="2"/>
      </rPr>
      <t xml:space="preserve"> .</t>
    </r>
  </si>
  <si>
    <r>
      <t xml:space="preserve">The </t>
    </r>
    <r>
      <rPr>
        <b/>
        <sz val="12"/>
        <color indexed="17"/>
        <rFont val="Arial"/>
        <family val="2"/>
      </rPr>
      <t>*</t>
    </r>
    <r>
      <rPr>
        <sz val="10"/>
        <rFont val="Arial"/>
        <family val="2"/>
      </rPr>
      <t xml:space="preserve"> and </t>
    </r>
    <r>
      <rPr>
        <b/>
        <sz val="12"/>
        <color indexed="17"/>
        <rFont val="Arial"/>
        <family val="2"/>
      </rPr>
      <t>/</t>
    </r>
    <r>
      <rPr>
        <sz val="10"/>
        <rFont val="Arial"/>
        <family val="2"/>
      </rPr>
      <t xml:space="preserve"> operations will be calculated before </t>
    </r>
    <r>
      <rPr>
        <b/>
        <sz val="12"/>
        <color indexed="12"/>
        <rFont val="Arial"/>
        <family val="2"/>
      </rPr>
      <t>+</t>
    </r>
    <r>
      <rPr>
        <sz val="10"/>
        <rFont val="Arial"/>
        <family val="2"/>
      </rPr>
      <t xml:space="preserve"> and</t>
    </r>
    <r>
      <rPr>
        <b/>
        <sz val="12"/>
        <color indexed="12"/>
        <rFont val="Arial"/>
        <family val="2"/>
      </rPr>
      <t xml:space="preserve"> -</t>
    </r>
    <r>
      <rPr>
        <sz val="10"/>
        <rFont val="Arial"/>
        <family val="2"/>
      </rPr>
      <t xml:space="preserve"> .</t>
    </r>
  </si>
  <si>
    <t>Example 1 : The wrong answer !</t>
  </si>
  <si>
    <t>But because the * is calculated first Excel sees the</t>
  </si>
  <si>
    <t>Example 2 : The correct answer.</t>
  </si>
  <si>
    <t>AutoSum Shortcut Key</t>
  </si>
  <si>
    <t>Instead of using the AutoSum button from the toolbar,</t>
  </si>
  <si>
    <r>
      <t xml:space="preserve">you can press </t>
    </r>
    <r>
      <rPr>
        <b/>
        <sz val="10"/>
        <color indexed="12"/>
        <rFont val="Arial"/>
        <family val="2"/>
      </rPr>
      <t>Alt</t>
    </r>
    <r>
      <rPr>
        <sz val="10"/>
        <rFont val="Arial"/>
        <family val="2"/>
      </rPr>
      <t xml:space="preserve"> and </t>
    </r>
    <r>
      <rPr>
        <b/>
        <sz val="10"/>
        <color indexed="12"/>
        <rFont val="Arial"/>
        <family val="2"/>
      </rPr>
      <t>=</t>
    </r>
    <r>
      <rPr>
        <sz val="10"/>
        <rFont val="Arial"/>
        <family val="2"/>
      </rPr>
      <t xml:space="preserve"> to achieve the same result.</t>
    </r>
  </si>
  <si>
    <t>Try it here :</t>
  </si>
  <si>
    <r>
      <t xml:space="preserve">Move to a blank cell in the Total row or column, then press </t>
    </r>
    <r>
      <rPr>
        <b/>
        <sz val="10"/>
        <color indexed="12"/>
        <rFont val="Arial"/>
        <family val="2"/>
      </rPr>
      <t>Alt</t>
    </r>
    <r>
      <rPr>
        <sz val="10"/>
        <rFont val="Arial"/>
        <family val="2"/>
      </rPr>
      <t xml:space="preserve"> and </t>
    </r>
    <r>
      <rPr>
        <b/>
        <sz val="10"/>
        <color indexed="12"/>
        <rFont val="Arial"/>
        <family val="2"/>
      </rPr>
      <t>=</t>
    </r>
    <r>
      <rPr>
        <sz val="10"/>
        <rFont val="Arial"/>
        <family val="2"/>
      </rPr>
      <t>.</t>
    </r>
  </si>
  <si>
    <t>or</t>
  </si>
  <si>
    <r>
      <t xml:space="preserve">Select a row, column or all cells and then press </t>
    </r>
    <r>
      <rPr>
        <b/>
        <sz val="10"/>
        <color indexed="12"/>
        <rFont val="Arial"/>
        <family val="2"/>
      </rPr>
      <t>Alt</t>
    </r>
    <r>
      <rPr>
        <sz val="10"/>
        <rFont val="Arial"/>
        <family val="2"/>
      </rPr>
      <t xml:space="preserve"> and </t>
    </r>
    <r>
      <rPr>
        <b/>
        <sz val="10"/>
        <color indexed="12"/>
        <rFont val="Arial"/>
        <family val="2"/>
      </rPr>
      <t>=</t>
    </r>
    <r>
      <rPr>
        <sz val="10"/>
        <rFont val="Arial"/>
        <family val="2"/>
      </rPr>
      <t>.</t>
    </r>
  </si>
  <si>
    <t>Total</t>
  </si>
  <si>
    <t>Syntax</t>
  </si>
  <si>
    <t>Example</t>
  </si>
  <si>
    <t>Table 1</t>
  </si>
  <si>
    <t>Table 2</t>
  </si>
  <si>
    <t>Hello</t>
  </si>
  <si>
    <t>What Does It Do ?</t>
  </si>
  <si>
    <t>Result</t>
  </si>
  <si>
    <t>What Does It Do?</t>
  </si>
  <si>
    <t>Example 1</t>
  </si>
  <si>
    <t>Name</t>
  </si>
  <si>
    <t>Alan</t>
  </si>
  <si>
    <t>Bob</t>
  </si>
  <si>
    <t>Carol</t>
  </si>
  <si>
    <t>David</t>
  </si>
  <si>
    <t>Green</t>
  </si>
  <si>
    <t>Note</t>
  </si>
  <si>
    <t>AVERAGE</t>
  </si>
  <si>
    <t>Mon</t>
  </si>
  <si>
    <t>Tue</t>
  </si>
  <si>
    <t>Wed</t>
  </si>
  <si>
    <t>Thu</t>
  </si>
  <si>
    <t>Fri</t>
  </si>
  <si>
    <t>Sat</t>
  </si>
  <si>
    <t>Sun</t>
  </si>
  <si>
    <t>Average</t>
  </si>
  <si>
    <t>Temp</t>
  </si>
  <si>
    <t>Rain</t>
  </si>
  <si>
    <t>No</t>
  </si>
  <si>
    <t>Reading</t>
  </si>
  <si>
    <t>This function calculates the average from a list of numbers.</t>
  </si>
  <si>
    <t>If the cell is blank or contains text, the cell will not be used in the average calculation.</t>
  </si>
  <si>
    <t>If the cell contains zero 0, the cell will be included in the average calculation.</t>
  </si>
  <si>
    <t>Example 2</t>
  </si>
  <si>
    <t>Item</t>
  </si>
  <si>
    <t>Bricks</t>
  </si>
  <si>
    <t>Wood</t>
  </si>
  <si>
    <t>Cement</t>
  </si>
  <si>
    <t>Example 3</t>
  </si>
  <si>
    <t>Red</t>
  </si>
  <si>
    <t>Blue</t>
  </si>
  <si>
    <t>Month</t>
  </si>
  <si>
    <t>Sales</t>
  </si>
  <si>
    <t>Apr</t>
  </si>
  <si>
    <t>May</t>
  </si>
  <si>
    <t>Jun</t>
  </si>
  <si>
    <t>COUNT</t>
  </si>
  <si>
    <t>Entries To Be Counted</t>
  </si>
  <si>
    <t>Count</t>
  </si>
  <si>
    <t>This function counts the number of numeric entries in a list.</t>
  </si>
  <si>
    <t>It will ignore blanks, text and errors.</t>
  </si>
  <si>
    <t>The following table was used by a builders merchant to calculate the number of sales</t>
  </si>
  <si>
    <t>for various products in each month.</t>
  </si>
  <si>
    <t>Glass</t>
  </si>
  <si>
    <t>Metal</t>
  </si>
  <si>
    <t>Fail</t>
  </si>
  <si>
    <t>COUNTIF</t>
  </si>
  <si>
    <t>Date</t>
  </si>
  <si>
    <t>Cost</t>
  </si>
  <si>
    <t>Brakes</t>
  </si>
  <si>
    <t>Tyres</t>
  </si>
  <si>
    <t>Service</t>
  </si>
  <si>
    <t>Window</t>
  </si>
  <si>
    <t>Clutch</t>
  </si>
  <si>
    <t>How many Tyres have been bought.</t>
  </si>
  <si>
    <t>How many items cost £100 or above.</t>
  </si>
  <si>
    <t>service</t>
  </si>
  <si>
    <t>Product</t>
  </si>
  <si>
    <t>Example 4</t>
  </si>
  <si>
    <t>Commission</t>
  </si>
  <si>
    <t>Target</t>
  </si>
  <si>
    <t xml:space="preserve">The result is : </t>
  </si>
  <si>
    <t xml:space="preserve">Type a name to look for : </t>
  </si>
  <si>
    <t>Discount</t>
  </si>
  <si>
    <t>IF</t>
  </si>
  <si>
    <t>This function tests a condition.</t>
  </si>
  <si>
    <t>If the condition is met it is considered to be TRUE.</t>
  </si>
  <si>
    <t>If the condition is not met it is considered as FALSE.</t>
  </si>
  <si>
    <t>Depending upon the result, one of two actions will be carried out.</t>
  </si>
  <si>
    <t xml:space="preserve"> =IF(Condition,ActionIfTrue,ActionIfFalse)</t>
  </si>
  <si>
    <t>The ActionIfTrue and ActionIfFalse can be numbers, text or calculations.</t>
  </si>
  <si>
    <t>This time the Commission to be paid to the sales rep is calculated.</t>
  </si>
  <si>
    <t>If the Sales are greater than or equal to the Target, the Commission is 10% of Sales.</t>
  </si>
  <si>
    <t>If the Sales do not reach Target, the Commission is only 5% of Sales.</t>
  </si>
  <si>
    <t>A builders merchant gives 10% discount on certain product lines.</t>
  </si>
  <si>
    <t>The discount is only given on products which are on Special Offer, when the Order Value</t>
  </si>
  <si>
    <r>
      <t xml:space="preserve">The =AND() function is used with the =IF() to check that the product is on offer </t>
    </r>
    <r>
      <rPr>
        <b/>
        <sz val="10"/>
        <rFont val="Arial"/>
        <family val="2"/>
      </rPr>
      <t>and</t>
    </r>
    <r>
      <rPr>
        <sz val="10"/>
        <rFont val="Arial"/>
        <family val="2"/>
      </rPr>
      <t xml:space="preserve"> that</t>
    </r>
  </si>
  <si>
    <t>the value of the order is above £1000.</t>
  </si>
  <si>
    <t>Special</t>
  </si>
  <si>
    <t>Order</t>
  </si>
  <si>
    <t>Offer</t>
  </si>
  <si>
    <t>Value</t>
  </si>
  <si>
    <t>Yes</t>
  </si>
  <si>
    <t>Turf</t>
  </si>
  <si>
    <t>INDEX</t>
  </si>
  <si>
    <t>Holiday booking price list.</t>
  </si>
  <si>
    <t>People</t>
  </si>
  <si>
    <t>Weeks</t>
  </si>
  <si>
    <t xml:space="preserve">How many weeks required : </t>
  </si>
  <si>
    <t xml:space="preserve">How many people in the party : </t>
  </si>
  <si>
    <t xml:space="preserve">Cost per person is : </t>
  </si>
  <si>
    <t>This function picks a value from a range of data by looking down a specified number</t>
  </si>
  <si>
    <t>of rows and then across a specified number of columns.</t>
  </si>
  <si>
    <t>It can be used with a single block of data, or non-continuos blocks.</t>
  </si>
  <si>
    <t>There are various forms of syntax for this function.</t>
  </si>
  <si>
    <t>Syntax 1</t>
  </si>
  <si>
    <t>=INDEX(RangeToLookIn,Coordinate)</t>
  </si>
  <si>
    <t>This is used when the RangeToLookIn is either a single column or row.</t>
  </si>
  <si>
    <t>Both of the examples below use the same syntax, but the Co-ordinate refers to a row when</t>
  </si>
  <si>
    <t>the range is vertical and a column when the range is horizontal.</t>
  </si>
  <si>
    <t>Colours</t>
  </si>
  <si>
    <t>Size</t>
  </si>
  <si>
    <t>Large</t>
  </si>
  <si>
    <t>Medium</t>
  </si>
  <si>
    <t>Small</t>
  </si>
  <si>
    <t xml:space="preserve">Type either 1, 2 or 3 : </t>
  </si>
  <si>
    <t xml:space="preserve">The colour is : </t>
  </si>
  <si>
    <t xml:space="preserve">The size is : </t>
  </si>
  <si>
    <t>Syntax 2</t>
  </si>
  <si>
    <t>This syntax is used when the range is made up of rows and columns.</t>
  </si>
  <si>
    <t>Country</t>
  </si>
  <si>
    <t>Currency</t>
  </si>
  <si>
    <t>Population</t>
  </si>
  <si>
    <t>England</t>
  </si>
  <si>
    <t>Sterling</t>
  </si>
  <si>
    <t>50 M</t>
  </si>
  <si>
    <t>London</t>
  </si>
  <si>
    <t>France</t>
  </si>
  <si>
    <t>Franc</t>
  </si>
  <si>
    <t>40 M</t>
  </si>
  <si>
    <t>Paris</t>
  </si>
  <si>
    <t>Germany</t>
  </si>
  <si>
    <t>DM</t>
  </si>
  <si>
    <t>60 M</t>
  </si>
  <si>
    <t>Bonn</t>
  </si>
  <si>
    <t>Spain</t>
  </si>
  <si>
    <t>Peseta</t>
  </si>
  <si>
    <t>30 M</t>
  </si>
  <si>
    <t>Barcelona</t>
  </si>
  <si>
    <t xml:space="preserve">Type 1,2,3 or 4 for the country : </t>
  </si>
  <si>
    <t>Syntax 3</t>
  </si>
  <si>
    <t>Using this syntax the range to look in can be made up of multiple areas.</t>
  </si>
  <si>
    <t>The easiest way to refer to these areas is to select them and give them a single name.</t>
  </si>
  <si>
    <t>The AreaToPickFrom indicates which of the multiple areas should be used.</t>
  </si>
  <si>
    <t>In the following example the figures for North and South have been named as one</t>
  </si>
  <si>
    <t>range called NorthAndSouth.</t>
  </si>
  <si>
    <t>NORTH</t>
  </si>
  <si>
    <t>Qtr1</t>
  </si>
  <si>
    <t>Qtr2</t>
  </si>
  <si>
    <t>Qtr3</t>
  </si>
  <si>
    <t>Qtr4</t>
  </si>
  <si>
    <t>SOUTH</t>
  </si>
  <si>
    <t xml:space="preserve">Type 1, 2 or 3 for the product : </t>
  </si>
  <si>
    <t xml:space="preserve">Type 1, 2, 3 or 4 for the Qtr : </t>
  </si>
  <si>
    <t xml:space="preserve">Type 1 for North or 2 for South : </t>
  </si>
  <si>
    <t>It allows the names of products and the quarters to be entered.</t>
  </si>
  <si>
    <t>The =MATCH() function is used to find the row and column positions of the names entered.</t>
  </si>
  <si>
    <t>These positions are then used by the =INDEX() function to look for the data.</t>
  </si>
  <si>
    <t>EAST</t>
  </si>
  <si>
    <t>WEST</t>
  </si>
  <si>
    <t>Table 1 shows an error due to the fact that the first entry was entered using an inappropriate</t>
  </si>
  <si>
    <t>date format.</t>
  </si>
  <si>
    <t xml:space="preserve">Start date : </t>
  </si>
  <si>
    <t>End date :</t>
  </si>
  <si>
    <t xml:space="preserve">Difference : </t>
  </si>
  <si>
    <t>Values</t>
  </si>
  <si>
    <t>MATCH</t>
  </si>
  <si>
    <t>Names</t>
  </si>
  <si>
    <t xml:space="preserve">Type a value : </t>
  </si>
  <si>
    <t xml:space="preserve">Value position : </t>
  </si>
  <si>
    <t>This function looks for an item in a list and shows its position.</t>
  </si>
  <si>
    <t>It can be used with text and numbers.</t>
  </si>
  <si>
    <t>It can look for an exact match or an approximate match.</t>
  </si>
  <si>
    <t>=MATCH(WhatToLookFor,WhereToLook,TypeOfMatch)</t>
  </si>
  <si>
    <t>The TypeOfMatch either 0, 1 or -1.</t>
  </si>
  <si>
    <t>Using 0 will look for an exact match. If no match is found the #NA error will be shown.</t>
  </si>
  <si>
    <t>Using 1 will look for an exact match, or the next lowest number if no exact match exists.</t>
  </si>
  <si>
    <t xml:space="preserve">   If there is no match or next lowest number the error #NA is shown.</t>
  </si>
  <si>
    <t xml:space="preserve">   The list of values being examined must be sorted for this to work correctly.</t>
  </si>
  <si>
    <t>Using -1 will look for an exact match, or the next highest number if no exact match exists.</t>
  </si>
  <si>
    <t xml:space="preserve">   If there is no exact match or next highest number the error #NA is shown.</t>
  </si>
  <si>
    <t xml:space="preserve">   The list must be sorted for this to work properly.</t>
  </si>
  <si>
    <t>Using the 0 option suitable for an exact match.</t>
  </si>
  <si>
    <r>
      <t xml:space="preserve">The </t>
    </r>
    <r>
      <rPr>
        <b/>
        <sz val="10"/>
        <rFont val="Arial"/>
        <family val="2"/>
      </rPr>
      <t>Ascending</t>
    </r>
    <r>
      <rPr>
        <sz val="10"/>
        <rFont val="Arial"/>
        <family val="2"/>
      </rPr>
      <t xml:space="preserve"> list gives the exact match.</t>
    </r>
  </si>
  <si>
    <r>
      <t xml:space="preserve">The </t>
    </r>
    <r>
      <rPr>
        <b/>
        <sz val="10"/>
        <rFont val="Arial"/>
        <family val="2"/>
      </rPr>
      <t>Descending</t>
    </r>
    <r>
      <rPr>
        <sz val="10"/>
        <rFont val="Arial"/>
        <family val="2"/>
      </rPr>
      <t xml:space="preserve"> list gives the exact match.</t>
    </r>
  </si>
  <si>
    <t>Ascending</t>
  </si>
  <si>
    <t>Descending</t>
  </si>
  <si>
    <t>Wrong Value</t>
  </si>
  <si>
    <t>Using the 1 option suitable for a ascending list to find an exact or next lowest match.</t>
  </si>
  <si>
    <r>
      <t xml:space="preserve">The </t>
    </r>
    <r>
      <rPr>
        <b/>
        <sz val="10"/>
        <rFont val="Arial"/>
        <family val="2"/>
      </rPr>
      <t>Wrong Value</t>
    </r>
    <r>
      <rPr>
        <sz val="10"/>
        <rFont val="Arial"/>
        <family val="2"/>
      </rPr>
      <t xml:space="preserve"> list finds the </t>
    </r>
    <r>
      <rPr>
        <b/>
        <sz val="10"/>
        <rFont val="Arial"/>
        <family val="2"/>
      </rPr>
      <t>next</t>
    </r>
    <r>
      <rPr>
        <sz val="10"/>
        <rFont val="Arial"/>
        <family val="2"/>
      </rPr>
      <t xml:space="preserve"> </t>
    </r>
    <r>
      <rPr>
        <b/>
        <sz val="10"/>
        <rFont val="Arial"/>
        <family val="2"/>
      </rPr>
      <t>lowest</t>
    </r>
    <r>
      <rPr>
        <sz val="10"/>
        <rFont val="Arial"/>
        <family val="2"/>
      </rPr>
      <t xml:space="preserve"> number..</t>
    </r>
  </si>
  <si>
    <t>Using the -1 option suitable for a descending list to find an exact or next highest match.</t>
  </si>
  <si>
    <r>
      <t xml:space="preserve">The </t>
    </r>
    <r>
      <rPr>
        <b/>
        <sz val="10"/>
        <rFont val="Arial"/>
        <family val="2"/>
      </rPr>
      <t>Descending</t>
    </r>
    <r>
      <rPr>
        <sz val="10"/>
        <rFont val="Arial"/>
        <family val="2"/>
      </rPr>
      <t xml:space="preserve"> list gives the exact match.</t>
    </r>
  </si>
  <si>
    <r>
      <t xml:space="preserve">The </t>
    </r>
    <r>
      <rPr>
        <b/>
        <sz val="10"/>
        <rFont val="Arial"/>
        <family val="2"/>
      </rPr>
      <t>Wrong Value</t>
    </r>
    <r>
      <rPr>
        <sz val="10"/>
        <rFont val="Arial"/>
        <family val="2"/>
      </rPr>
      <t xml:space="preserve"> list finds the </t>
    </r>
    <r>
      <rPr>
        <b/>
        <sz val="10"/>
        <rFont val="Arial"/>
        <family val="2"/>
      </rPr>
      <t>next</t>
    </r>
    <r>
      <rPr>
        <sz val="10"/>
        <rFont val="Arial"/>
        <family val="2"/>
      </rPr>
      <t xml:space="preserve"> </t>
    </r>
    <r>
      <rPr>
        <b/>
        <sz val="10"/>
        <rFont val="Arial"/>
        <family val="2"/>
      </rPr>
      <t>highest</t>
    </r>
    <r>
      <rPr>
        <sz val="10"/>
        <rFont val="Arial"/>
        <family val="2"/>
      </rPr>
      <t xml:space="preserve"> number.</t>
    </r>
  </si>
  <si>
    <t>The tables below were used to by a bus company taking booking for bus tours.</t>
  </si>
  <si>
    <t>They need to allocate a bus with enough seats for the all the passengers.</t>
  </si>
  <si>
    <t>The list of bus sizes has been entered in a list.</t>
  </si>
  <si>
    <t>The number of passengers on the tour is then entered.</t>
  </si>
  <si>
    <t>The =MATCH() function looks down the list to find the bus with enough seats.</t>
  </si>
  <si>
    <t>If the number of passengers is not an exact match, the next biggest bus will be picked.</t>
  </si>
  <si>
    <t>After the =MATCH() function has found the bus, the =INDEX() function has been used</t>
  </si>
  <si>
    <t>to look down the list again and pick out the actual bus size required.</t>
  </si>
  <si>
    <t>Bus Size</t>
  </si>
  <si>
    <t xml:space="preserve">Passengers on the tour : </t>
  </si>
  <si>
    <t>Bus 1</t>
  </si>
  <si>
    <t xml:space="preserve">Bus size needed : </t>
  </si>
  <si>
    <t>Bus 2</t>
  </si>
  <si>
    <t>Bus 3</t>
  </si>
  <si>
    <t>Bus 4</t>
  </si>
  <si>
    <t>Bus 5</t>
  </si>
  <si>
    <t>Example 5</t>
  </si>
  <si>
    <t>The tables below were used by a school to calculate the exam grades for pupils.</t>
  </si>
  <si>
    <t>The list of grade breakpoints was entered in a list.</t>
  </si>
  <si>
    <t>The pupils scores were entered in another list.</t>
  </si>
  <si>
    <t>The pupils scores are compared against the breakpoints.</t>
  </si>
  <si>
    <t>If an exact match is not found, the next lowest breakpoint is used.</t>
  </si>
  <si>
    <t>The =INDEX() function then looks down the Grade list to find the grade.</t>
  </si>
  <si>
    <t>Exam Score</t>
  </si>
  <si>
    <t>Grade</t>
  </si>
  <si>
    <t>Pupil Score</t>
  </si>
  <si>
    <t>Pass</t>
  </si>
  <si>
    <t>Merit</t>
  </si>
  <si>
    <t>Distinction</t>
  </si>
  <si>
    <t>MAX</t>
  </si>
  <si>
    <t>Maximum</t>
  </si>
  <si>
    <t>Dates</t>
  </si>
  <si>
    <t>This function picks the highest value from a list of data.</t>
  </si>
  <si>
    <t>=MAX(Range1,Range2,Range3... through to Range30)</t>
  </si>
  <si>
    <t>In the following example the =MAX() function has been used to find the highest value for</t>
  </si>
  <si>
    <t>each region, month and overall.</t>
  </si>
  <si>
    <t>Region Max</t>
  </si>
  <si>
    <t>Month Max</t>
  </si>
  <si>
    <t>Overall Max</t>
  </si>
  <si>
    <t>MIN</t>
  </si>
  <si>
    <t>Minimum</t>
  </si>
  <si>
    <t>This function picks the lowest value from a list of data.</t>
  </si>
  <si>
    <t>=MIN(Range1,Range2,Range3... through to Range30)</t>
  </si>
  <si>
    <t>In the following example the =MIN() function has been used to find the lowest value for</t>
  </si>
  <si>
    <t>Region Min</t>
  </si>
  <si>
    <t>Month MIN</t>
  </si>
  <si>
    <t>Overall MIN</t>
  </si>
  <si>
    <t>SUM</t>
  </si>
  <si>
    <t>Horizontal</t>
  </si>
  <si>
    <t>Vertical</t>
  </si>
  <si>
    <t xml:space="preserve"> =SUM(C7:C9)</t>
  </si>
  <si>
    <t>Single Cells</t>
  </si>
  <si>
    <t>Multiple Ranges</t>
  </si>
  <si>
    <t>Functions</t>
  </si>
  <si>
    <t>This function creates a total from a list of numbers.</t>
  </si>
  <si>
    <t>It can be used either horizontally or vertically.</t>
  </si>
  <si>
    <t>The numbers can be in single cells, ranges are from other functions.</t>
  </si>
  <si>
    <t>This example shows how the SUM has been combined with plus + symbols.</t>
  </si>
  <si>
    <t>The formula is actually doing more work than needed.</t>
  </si>
  <si>
    <t>It should have been entered as either =C48+C49+C50 or =SUM(C48:C50).</t>
  </si>
  <si>
    <t>Correct</t>
  </si>
  <si>
    <t>SUM (Running Total)</t>
  </si>
  <si>
    <t>Using =SUM() For A Running Total</t>
  </si>
  <si>
    <t>Running
Total</t>
  </si>
  <si>
    <t>Jul</t>
  </si>
  <si>
    <t>Aug</t>
  </si>
  <si>
    <t>Sep</t>
  </si>
  <si>
    <t>Oct</t>
  </si>
  <si>
    <t>Nov</t>
  </si>
  <si>
    <t>Dec</t>
  </si>
  <si>
    <t>Type the formula =SUM($D$7:D7) in cell E7 and then copy down the table.</t>
  </si>
  <si>
    <t>It works because the first reference uses dollar symbols $ to keep $D$7 static</t>
  </si>
  <si>
    <t>as the formula is copied down. Each occurrence of the =SUM() then adds all</t>
  </si>
  <si>
    <t>the numbers from the first cell down.</t>
  </si>
  <si>
    <t>The function can be tidied up to show 0 zero when there is no adjacent value</t>
  </si>
  <si>
    <t xml:space="preserve"> The =SUM() only takes place when</t>
  </si>
  <si>
    <t xml:space="preserve"> there is data in column D.</t>
  </si>
  <si>
    <t xml:space="preserve"> Otherwise the value 0 zero is entered.</t>
  </si>
  <si>
    <t>SUMIF</t>
  </si>
  <si>
    <t>Total cost of all Brakes bought.</t>
  </si>
  <si>
    <t>Total cost of all Tyres bought.</t>
  </si>
  <si>
    <t xml:space="preserve"> =SUMIF(E4:E12,"&gt;=100")</t>
  </si>
  <si>
    <t xml:space="preserve"> =SUMIF(C4:C12,E18,E4:E12)</t>
  </si>
  <si>
    <t>=SUMIF(C4:C12,"Brakes",E4:E12)</t>
  </si>
  <si>
    <t>This examines the names of products in C4:C12.</t>
  </si>
  <si>
    <t>It then identifies the entries for Brakes.</t>
  </si>
  <si>
    <t>This examines the values in E4:E12.</t>
  </si>
  <si>
    <t>If the value is &gt;=100 the value is added to the total.</t>
  </si>
  <si>
    <t>Overview</t>
  </si>
  <si>
    <t>The most important thing you can learn in Excel is actually not formulas, it's how to navigate around quickly.</t>
  </si>
  <si>
    <t>If you've ever been guilty of getting to the bottom of a massive Excel spreadsheet by holding down the down arrow on the scroll bar for a minute, this information is for you.</t>
  </si>
  <si>
    <t>It's far quicker to get around Excel using the keyboard and it's also easier on your hands than constantly switching to the mouse, so if you get any wrist or finger pain it's really important you learn how to do this.</t>
  </si>
  <si>
    <t>Editing a cell</t>
  </si>
  <si>
    <t xml:space="preserve">Way too many people edit a cell by double clicking on it. Do. Not. Do. This. </t>
  </si>
  <si>
    <t>This immediately allows you to edit the cell and will probably be the Excel shortcut you use the most.</t>
  </si>
  <si>
    <t>To get out of the cell, hit Enter if you are happy with your changes or hit ESC if you don't want to make any changes.</t>
  </si>
  <si>
    <t>Moving around on a tab</t>
  </si>
  <si>
    <t>Obviously, you use the arrow keys to do this, but there are tricks to make this easier.</t>
  </si>
  <si>
    <t>Consider this table</t>
  </si>
  <si>
    <t>SOME THINGS</t>
  </si>
  <si>
    <t>SOME INFORMATION</t>
  </si>
  <si>
    <t>A</t>
  </si>
  <si>
    <t>Move to the bottom, top, left or right of a table</t>
  </si>
  <si>
    <t>B</t>
  </si>
  <si>
    <t>Move the first cell in the table and imagine you want to get to the bottom of the table.</t>
  </si>
  <si>
    <t>Boom, it takes you to the bottom of the table. This will work on a table of 5 rows, and it will work on a table of 50,000 rows. Never use the scroll button to get to the bottom again.</t>
  </si>
  <si>
    <t>You can also use the same sort of shortcut to move to the right or left of a table. Try this:</t>
  </si>
  <si>
    <t>Both of these shortcuts take you to the next "break" in the data. So if your table is full, they will take you all the way to the right, or left, or top, or bottom.</t>
  </si>
  <si>
    <t>But, if your table has breaks (cells with no data) then they will take you only to this cell.</t>
  </si>
  <si>
    <t>If this happens, instead you can try:</t>
  </si>
  <si>
    <t>Scroll on a page</t>
  </si>
  <si>
    <t>Move to the beginning of a tab</t>
  </si>
  <si>
    <t>Move to the end of a tab</t>
  </si>
  <si>
    <t>Moving between tabs</t>
  </si>
  <si>
    <t>Move forward a tab</t>
  </si>
  <si>
    <t>Move backward a tab</t>
  </si>
  <si>
    <t>Hopefully you know this one already, probably to sneak in Facebook sessions or online shopping into your day and hide it from others…</t>
  </si>
  <si>
    <t>Alt tab will take you to the last window/program you used.</t>
  </si>
  <si>
    <t>If you want to choose which program to use as you Have open more than two, hold Alt and press tab as many times as it takes to cycle through all open windows.</t>
  </si>
  <si>
    <t>Before you can edit or delete something, you need to select it.</t>
  </si>
  <si>
    <t>Here's a selection of shortcuts to help you do just that.</t>
  </si>
  <si>
    <t>Select everything</t>
  </si>
  <si>
    <t>Usually followed by delete, to clear a sheet intentionally or to ruin your life unintentionally.</t>
  </si>
  <si>
    <t>Select a range of cells</t>
  </si>
  <si>
    <t>Hold shift, then use the arrow keys to move around to select the range that you need.</t>
  </si>
  <si>
    <t>Select a bunch of individual cells</t>
  </si>
  <si>
    <t>Hold control, then click on each cell individually and it will select them all.</t>
  </si>
  <si>
    <t>Select a very large range</t>
  </si>
  <si>
    <t>Hold shift then hit page up or down</t>
  </si>
  <si>
    <t>Select a whole part of a table</t>
  </si>
  <si>
    <t>To do this you basically combine the above shortcut, and the control+arrow keys shortcut in the navigation shortcut section.</t>
  </si>
  <si>
    <t>Hold control and shift and then use the arrow keys</t>
  </si>
  <si>
    <t>As always, it's far quicker and easier to do with keyboard shortcuts.</t>
  </si>
  <si>
    <t>Rows and columns</t>
  </si>
  <si>
    <t>Insert a new row</t>
  </si>
  <si>
    <t>Hit alt (don't hold) then hit I, then hit R</t>
  </si>
  <si>
    <t>Note: when you insert a new row in a section with formatting in it, there is a little box which pops up with a paintbrush in it.</t>
  </si>
  <si>
    <t>You can use this to choose whether you want the row to look like the row above, the row below, or have no formatting at all</t>
  </si>
  <si>
    <t>Insert a new column</t>
  </si>
  <si>
    <t xml:space="preserve">To insert multiple rows or column, select a whole bunch of rows, or columns and then hit the above shortcuts. </t>
  </si>
  <si>
    <t>For example if you select four rows and then use the insert rows shortcut, it will insert four rows.</t>
  </si>
  <si>
    <t>Note: when you insert a new column in a section with formatting in it, there is a little box which pops up with a paintbrush in it.</t>
  </si>
  <si>
    <t>You can use this to choose whether you want the column to look like the column to the left, the right, or have no formatting at all</t>
  </si>
  <si>
    <t>Copying might seem pretty straightforward (if you don't know what control C and control V are you should potentially consider a different profession), but there are a whoooooole lot of different Excel copying functions and shortcuts that will save you enormous amounts of time.</t>
  </si>
  <si>
    <t>Just in case, a quick review…</t>
  </si>
  <si>
    <t>To copy</t>
  </si>
  <si>
    <t>To paste</t>
  </si>
  <si>
    <t>The issue with the standard paste in Excel is that it pastes everything: the cell text, any formatting in the cell (font, font colour, cell fill etc) and also borders</t>
  </si>
  <si>
    <t>Eg, try copying the cell below and pasting it, this can be really annoying if you're just looking for the text.</t>
  </si>
  <si>
    <t>COPY ME, I DARE YOU</t>
  </si>
  <si>
    <t>Which leads to:</t>
  </si>
  <si>
    <t>Paste Special</t>
  </si>
  <si>
    <t>Everyone HAS to know this shortcut</t>
  </si>
  <si>
    <t>If you copy something, then use this shortcut, it brings up a dialog box which looks like:</t>
  </si>
  <si>
    <t>This box contains all of the different types of paste you can do, the most important of which are:</t>
  </si>
  <si>
    <t>You can select any of the options, then click OK, but it's better to use to shortcuts.</t>
  </si>
  <si>
    <t>Paste values</t>
  </si>
  <si>
    <t>To just paste the text or number value of a cell, without any of its formatting, use paste special --&gt; values</t>
  </si>
  <si>
    <t>Paste values also removes the formula and converts the result into just a number/text.</t>
  </si>
  <si>
    <t>This is SUPER important as you'll actually just want to paste values more than using the normal CNTRL + V paste</t>
  </si>
  <si>
    <t>Hit alt (don't hold) then hit E, then S, then V</t>
  </si>
  <si>
    <t>Paste formatting</t>
  </si>
  <si>
    <t>So you need some other cell to have the same pink sparkling glittery format and size 72 webdings font that you've applied to all your other cells?</t>
  </si>
  <si>
    <t>Ignoring the fact that this would make you an idiot, rather than individually changing the cell background, the font size, the colour etc, you can just copy the format from one of your existing fabulous cells, and paste it into another one.</t>
  </si>
  <si>
    <t>Give it a try:</t>
  </si>
  <si>
    <t>COPY ME</t>
  </si>
  <si>
    <t>Paste the format to this cell</t>
  </si>
  <si>
    <t>Paste formulas</t>
  </si>
  <si>
    <t>Just like sometimes you only want the values of a cell, sometimes you only want the formula from a cell without any of the other nonsense.</t>
  </si>
  <si>
    <t>Be aware that unless the cell you originally copied had exact referencing ($ signs on the cell reference), the references will be moved based on where you copy the cell (just like normal paste)</t>
  </si>
  <si>
    <t>Transpose</t>
  </si>
  <si>
    <t>Now imagine that you need to make this into a table, with the months going downwards instead:</t>
  </si>
  <si>
    <t>Eg you have this:</t>
  </si>
  <si>
    <t>Balance</t>
  </si>
  <si>
    <t>And you want to turn it into this:</t>
  </si>
  <si>
    <t>Rather than doing some really pesky copying and pasting individually, you can use the transpose function of paste special:</t>
  </si>
  <si>
    <t>Give it a try using the example above.</t>
  </si>
  <si>
    <t>Zooming in/out</t>
  </si>
  <si>
    <t>Instead, use the arrow keys (or mouse if you truly have to) to move to the cell you want to edit, then hit F2.</t>
  </si>
  <si>
    <t>If you're working on large audit work papers, deal tools or documents, you're probably moving between tabs all the time.</t>
  </si>
  <si>
    <t>Moving between work papers/windows</t>
  </si>
  <si>
    <t>You might use this to insert a link to another tab (maybe in the tailored procedures section) or to another part of the tab</t>
  </si>
  <si>
    <t>To link to another tab, use this shortcut, then double click on the tab name on the "place in this document" section.</t>
  </si>
  <si>
    <t>Imagine your client has a spreadsheet with months across the top and account balances for each.</t>
  </si>
  <si>
    <t>IFERROR</t>
  </si>
  <si>
    <t>OR</t>
  </si>
  <si>
    <t>Hit End and then the down ksy</t>
  </si>
  <si>
    <t>Hit End and then the right key</t>
  </si>
  <si>
    <t>Hold Control, then hit the down key</t>
  </si>
  <si>
    <t>Hold Control, then hit the right key</t>
  </si>
  <si>
    <t>Hold Control, then hit Page Up or Page Down key.</t>
  </si>
  <si>
    <t>Before you begin, note that for all these shortcuts that involve Control, you will need to HOLD the Control key, then press the other key.</t>
  </si>
  <si>
    <t>Go to File &gt; Options and select the Advanced tab</t>
  </si>
  <si>
    <t>You only need to do this once per computer, then the setting is saved</t>
  </si>
  <si>
    <t>Uncheck this box and click OK</t>
  </si>
  <si>
    <t>Hold shift and hit end and then an arrow key</t>
  </si>
  <si>
    <t>This is really useful for inserting and deleting columns</t>
  </si>
  <si>
    <t>Select a whole row(s) or column(s)</t>
  </si>
  <si>
    <t>Row(s):</t>
  </si>
  <si>
    <t>Select one cell in the row you want to select all of, or a continuous range that covers all the rows you want to select</t>
  </si>
  <si>
    <t>Column(s):</t>
  </si>
  <si>
    <t>Select one cell in the columns you want to select all of, or a continuous range that covers all the columns you want to select</t>
  </si>
  <si>
    <t>Then hold down Control and hit the space bar</t>
  </si>
  <si>
    <t>Then hold down Shift and hit the space bar</t>
  </si>
  <si>
    <t>Select a whole column (see previous sheet) and then hold down Control and Shift and hit +</t>
  </si>
  <si>
    <t>There are a lot of things that you need to be able to insert (and indeed delete) in Excel.</t>
  </si>
  <si>
    <t>Hyperlinks</t>
  </si>
  <si>
    <t>Select a whole row (see previous sheet) and then hold down Control and Shift and hit +</t>
  </si>
  <si>
    <t>Hold down Control and hit the - (minus) key</t>
  </si>
  <si>
    <t>Deleting and clearing</t>
  </si>
  <si>
    <t>Delete the selected cells (you will then get a prompt asking if you want to move cells up or left or delete the whole row or column)</t>
  </si>
  <si>
    <t>Clear formats and contents of selected cells (but keep structure as it is)</t>
  </si>
  <si>
    <t>Clear formats of selected cells (but keep contents)</t>
  </si>
  <si>
    <t>Hit alt (don't hold) and hit I and then C</t>
  </si>
  <si>
    <t>Duplicating rows and columns</t>
  </si>
  <si>
    <t>Give it a try using the table to the right.</t>
  </si>
  <si>
    <t xml:space="preserve">1. Select the column (refer to "SELECTING" sheet) and copy it (see above), </t>
  </si>
  <si>
    <t>The same process works for duplicating rows</t>
  </si>
  <si>
    <t>3. Hold down Control and Shift and hit +</t>
  </si>
  <si>
    <t>This is handy if you want to extend a range, and especially to add a row/column in the middle of the range with the same formulas and formatting as the rest of the range. To duplicate a column, there are three steps:</t>
  </si>
  <si>
    <t>It's also important to understand the difference between copying and cutting, otherwise you can end up in a whole world of pain</t>
  </si>
  <si>
    <t>Cutting and pasting</t>
  </si>
  <si>
    <t>To cut</t>
  </si>
  <si>
    <t>Then paste (you can't paste special with cut cells)</t>
  </si>
  <si>
    <t>If you want to move a cell or range rather than copy it, then you can cut and paste rather than copy and paste. However there is a health warning to be aware of.</t>
  </si>
  <si>
    <t>We recommend changing your settings in Excel to disable editing directly in cells. This means:</t>
  </si>
  <si>
    <t>1. When you hit F2 on a cell with a formula in it, the precedent cells/ranges will be shown in colour, which is super useful for checking and tracing</t>
  </si>
  <si>
    <t>2. When you double click on a cell, it will instead take you to the first precedent cell if it's a formula, which is really useful for tracing formulas back.</t>
  </si>
  <si>
    <t>Deleting can be dangerous, if data in the deleted cells is used anywhere else in the spreadsheet. This can lead to REF errors in formulas and no record in the spreadsheet of what the precedent cell used to be. Before deleting any cells, ever:</t>
  </si>
  <si>
    <t>1. Check if they have any dependents (use the Trace Dependents option on the Formulas menu, though note this isn't foolproof)</t>
  </si>
  <si>
    <t>2. Save your spreadsheet</t>
  </si>
  <si>
    <t>3. Make a new version</t>
  </si>
  <si>
    <t xml:space="preserve"> =SUM($D$7:$D7)</t>
  </si>
  <si>
    <t xml:space="preserve"> =SUM($D$7:$D8)</t>
  </si>
  <si>
    <t xml:space="preserve"> =SUM($D$7:$D9)</t>
  </si>
  <si>
    <t xml:space="preserve"> =SUM($D$7:$D10)</t>
  </si>
  <si>
    <t xml:space="preserve"> =SUM($D$7:$D11)</t>
  </si>
  <si>
    <t xml:space="preserve"> =SUM($D$7:$D12)</t>
  </si>
  <si>
    <t xml:space="preserve"> =SUM($D$7:$D13)</t>
  </si>
  <si>
    <t xml:space="preserve"> =SUM($D$7:$D14)</t>
  </si>
  <si>
    <t xml:space="preserve"> =SUM($D$7:$D15)</t>
  </si>
  <si>
    <t xml:space="preserve"> =SUM($D$7:$D16)</t>
  </si>
  <si>
    <t xml:space="preserve"> =SUM($D$7:$D17)</t>
  </si>
  <si>
    <t xml:space="preserve"> =SUM($D$7:$D18)</t>
  </si>
  <si>
    <t xml:space="preserve"> =SUM(IF(D7,$D$7:$D7,0))</t>
  </si>
  <si>
    <t xml:space="preserve"> =SUM(IF(D8,$D$7:$D8,0))</t>
  </si>
  <si>
    <t xml:space="preserve"> =SUM(IF(D9,$D$7:$D9,0))</t>
  </si>
  <si>
    <t xml:space="preserve"> =SUM(IF(D10,$D$7:$D10,0))</t>
  </si>
  <si>
    <t xml:space="preserve"> =SUM(IF(D11,$D$7:$D11,0))</t>
  </si>
  <si>
    <t xml:space="preserve"> =SUM(IF(D12,$D$7:$D12,0))</t>
  </si>
  <si>
    <t>or, even better, by multiplying by a condition:</t>
  </si>
  <si>
    <t>by using the =IF() function:</t>
  </si>
  <si>
    <t>=SUM($D$7:$D7)*(D7&gt;0)</t>
  </si>
  <si>
    <t>=SUM($D$7:$D8)*(D8&gt;0)</t>
  </si>
  <si>
    <t>=SUM($D$7:$D9)*(D9&gt;0)</t>
  </si>
  <si>
    <t>=SUM($D$7:$D10)*(D10&gt;0)</t>
  </si>
  <si>
    <t>=SUM($D$7:$D11)*(D11&gt;0)</t>
  </si>
  <si>
    <t>=SUM($D$7:$D12)*(D12&gt;0)</t>
  </si>
  <si>
    <t>Inefficient!</t>
  </si>
  <si>
    <t>COUNTIFS</t>
  </si>
  <si>
    <t>=COUNTIF(RangeOfThingsToBeCounted,CriterionToBeMatched)</t>
  </si>
  <si>
    <r>
      <t>- To match a specific number type the number, such as =COUNTIF(A1:A5,</t>
    </r>
    <r>
      <rPr>
        <b/>
        <sz val="10"/>
        <rFont val="Arial"/>
        <family val="2"/>
      </rPr>
      <t>100</t>
    </r>
    <r>
      <rPr>
        <sz val="10"/>
        <rFont val="Arial"/>
        <family val="2"/>
      </rPr>
      <t>)</t>
    </r>
  </si>
  <si>
    <r>
      <t>- To match a piece of text type the text in quotes, such as =COUNTIF(A1:A5,</t>
    </r>
    <r>
      <rPr>
        <b/>
        <sz val="10"/>
        <rFont val="Arial"/>
        <family val="2"/>
      </rPr>
      <t>"Hello"</t>
    </r>
    <r>
      <rPr>
        <sz val="10"/>
        <rFont val="Arial"/>
        <family val="2"/>
      </rPr>
      <t>)</t>
    </r>
  </si>
  <si>
    <r>
      <t>- To match using operators surround the expression with quotes, such as =COUNTIF(A1:A5,</t>
    </r>
    <r>
      <rPr>
        <b/>
        <sz val="10"/>
        <rFont val="Arial"/>
        <family val="2"/>
      </rPr>
      <t>"&gt;100"</t>
    </r>
    <r>
      <rPr>
        <sz val="10"/>
        <rFont val="Arial"/>
        <family val="2"/>
      </rPr>
      <t>)</t>
    </r>
  </si>
  <si>
    <t>How many of this item have been bought:</t>
  </si>
  <si>
    <t>How many items cost less than $</t>
  </si>
  <si>
    <t>It is best practice not to hard code the conditions/expressions but put them in input cells instead</t>
  </si>
  <si>
    <t>- If then using &lt;, &lt;=, &gt; or &gt;= you need to put it in quotes and then use &amp;, e.g. =COUNTIF(E$4:E$12,"&lt;"&amp;E19)</t>
  </si>
  <si>
    <t>How many Brake Shoes have been bought.</t>
  </si>
  <si>
    <t>How many Tyres have been bought for at least $100.</t>
  </si>
  <si>
    <t>How many items costing more than $</t>
  </si>
  <si>
    <t>This function counts the number of items which match a criterion set by the user.</t>
  </si>
  <si>
    <t>How many items were bought between</t>
  </si>
  <si>
    <t>and</t>
  </si>
  <si>
    <t>=COUNTIF(Range1OfThingsToBeCounted,Criterion1ToBeMatched,Range2OfThingsToBeCounted,Criterion2ToBeMatched,...)</t>
  </si>
  <si>
    <t>You can use as many ranges/criteria as you like, but each range must be accompanied by a criterion</t>
  </si>
  <si>
    <t>This function counts the number of items which match multiple criteria set by the user. It only counts the items that meet all the criteria.</t>
  </si>
  <si>
    <t>The criteria are defined in the same way as for COUNTIF</t>
  </si>
  <si>
    <t>How many items were bought after</t>
  </si>
  <si>
    <t>Have been bought on or since</t>
  </si>
  <si>
    <t>The criterion can be typed in any of the following ways:</t>
  </si>
  <si>
    <t>=AVERAGE(Range1,Range2,Range3...)</t>
  </si>
  <si>
    <t>AVERAGEIF(S)</t>
  </si>
  <si>
    <t>Y</t>
  </si>
  <si>
    <t>N</t>
  </si>
  <si>
    <t>Average temperature on a day when there is sun</t>
  </si>
  <si>
    <t>Average temperature on a day with sun and rainfall at least</t>
  </si>
  <si>
    <t>Average temperature on a day with temperature above</t>
  </si>
  <si>
    <t>These functions calculate the average from a list of numbers, subject to a condition or conditions.</t>
  </si>
  <si>
    <t>=SUMIF(RangeOfThingsToBeExamined,CriterionToBeMatched,RangeOfValuesToTotal)</t>
  </si>
  <si>
    <t>=AVERAGEIF(RangeOfThingsToBeExamined,CriterionToBeMatched,[RangeOfThingsToAverage])</t>
  </si>
  <si>
    <t>If the range of things to be averaged is the same as the range to match the criterion in then it can be omitted</t>
  </si>
  <si>
    <t>=AVERAGEIFS(RangeOfThingsToAverage,Range1OfThingsToBeExamined,Criterion1ToBeMatched,Range2OfThingsToBeExamined,Criterion2ToBeMatched…)</t>
  </si>
  <si>
    <t>Note that the syntax is different from AVERAGEIF - the range to be averaged comes first, and must be specified</t>
  </si>
  <si>
    <t>Syntax - one criterion (AVERAGEIF)</t>
  </si>
  <si>
    <t>Syntax - multiple criteria (AVERAGEIFS)</t>
  </si>
  <si>
    <t>The syntax also works with only one criterion, so is more flexible / easier to extend - hence recommended to use instead of AVERAGEIF</t>
  </si>
  <si>
    <t>=IFERROR(FormulaToTest,ValueIfError)</t>
  </si>
  <si>
    <t xml:space="preserve">This function will inform the user that there has been an error in the data entry or a formula would </t>
  </si>
  <si>
    <t>return an error, by recalling the text specified in the formula (e.g. "n/a" or "error")</t>
  </si>
  <si>
    <t xml:space="preserve">The FormulaToTest can be a cell reference or a formula. </t>
  </si>
  <si>
    <t>The following tables were used to calculate the number of days between two dates.</t>
  </si>
  <si>
    <t>Formula to test</t>
  </si>
  <si>
    <t>Revenue</t>
  </si>
  <si>
    <t>Journeys</t>
  </si>
  <si>
    <t>Year</t>
  </si>
  <si>
    <t>Yield</t>
  </si>
  <si>
    <t>Lookup year</t>
  </si>
  <si>
    <t>With IFERROR</t>
  </si>
  <si>
    <t>Yield no IFERROR</t>
  </si>
  <si>
    <t>Yield with IFERROR</t>
  </si>
  <si>
    <t>The following tables are used to calculate the yield per journey for a transport system and look up the yield in a particular year</t>
  </si>
  <si>
    <t>Table 2 shows how the =IFERROR() function has been used to trap the error and inform the user that there has been an error in the data entry.</t>
  </si>
  <si>
    <t>IFERROR can mask other errors which aren't the error you're trying to trap</t>
  </si>
  <si>
    <t>Without an error trap, #N/A error is returned if a year outside the range is looked up.</t>
  </si>
  <si>
    <t>Looking at the example above, if we mistype the lookup formula by having the INDEX range only one cell, we get a #REF! error for 2017</t>
  </si>
  <si>
    <t>If we use an IFERROR to trap the non-matching for future years like 2019, 2017 also returns "unknown", masking the erroneous formula</t>
  </si>
  <si>
    <t>It is better practice to do one of the following rather than use IFERROR:</t>
  </si>
  <si>
    <t>Trap the source of the potential error, e.g. by testing whether the denominator is zero</t>
  </si>
  <si>
    <t xml:space="preserve">Option 2 is often easier, especially to trap division by zero </t>
  </si>
  <si>
    <t>In this case the formula in H47 would become</t>
  </si>
  <si>
    <t>Option 1: If here we use an ISNA (see next sheet) to trap the future years, we see we have a problem with the formula as we still get a REF error even with the error trap</t>
  </si>
  <si>
    <t>Correcting the formula:</t>
  </si>
  <si>
    <t>ISNA</t>
  </si>
  <si>
    <t>SUMPRODUCT</t>
  </si>
  <si>
    <t>Many people use the =SUM() function incorrectly/inefficiently.</t>
  </si>
  <si>
    <t>=SUM(Range1,Range2,Range3... ).</t>
  </si>
  <si>
    <t>Commission above target</t>
  </si>
  <si>
    <t>Commission below target</t>
  </si>
  <si>
    <t>Indicator of being on offer</t>
  </si>
  <si>
    <t>Min order for discount</t>
  </si>
  <si>
    <t>The following table is similar to that above</t>
  </si>
  <si>
    <t>The Condition is usually comparing two cells, such as A1=A2 or A1&gt;A2 but can be more complex</t>
  </si>
  <si>
    <t>This example uses the =OR() function within the =IF() function.</t>
  </si>
  <si>
    <t>This example uses the =AND() function within the =IF() function.</t>
  </si>
  <si>
    <t>The builders merchant changes his discount policy</t>
  </si>
  <si>
    <t>He now gives a discount on products which are on Special Offer or if the Order Value</t>
  </si>
  <si>
    <r>
      <t xml:space="preserve">The =OR() function is used with the =IF() to check that the product is on offer </t>
    </r>
    <r>
      <rPr>
        <b/>
        <sz val="10"/>
        <rFont val="Arial"/>
        <family val="2"/>
      </rPr>
      <t xml:space="preserve">or </t>
    </r>
    <r>
      <rPr>
        <sz val="10"/>
        <rFont val="Arial"/>
        <family val="2"/>
      </rPr>
      <t>that</t>
    </r>
  </si>
  <si>
    <t>Avoiding IF using Boolean logic and MAX/MIN</t>
  </si>
  <si>
    <t>Achieved target?</t>
  </si>
  <si>
    <t>Achieved target? 1/0</t>
  </si>
  <si>
    <t>Failed to achieve? 1/0</t>
  </si>
  <si>
    <t>Using Boolean logic here avoids the need for the IF and AND functions</t>
  </si>
  <si>
    <t>Since we want to return zero for the discount unless both conditions are satisfied, we can mutliply them together,</t>
  </si>
  <si>
    <t>In the case of one condition or the other being sufficient, the OR is still needed,</t>
  </si>
  <si>
    <t>The OR will return a 1 if one or more conditions is satisfied, otherwise zero.</t>
  </si>
  <si>
    <t>but Boolean logic is still simpler and quicker than IF, especially as only one set of brackets is needed.</t>
  </si>
  <si>
    <t>Retailer 1</t>
  </si>
  <si>
    <t>Retailer 2</t>
  </si>
  <si>
    <t>Cheaper by how much</t>
  </si>
  <si>
    <t>Price</t>
  </si>
  <si>
    <t>A common use of IF is to return only positive values. It is simpler to use MAX to do this (or MIN for negatives).</t>
  </si>
  <si>
    <t>as if either is FALSE it will become a zero, making the result zero.</t>
  </si>
  <si>
    <t>Using the same example as to the left, you can use the TRUE/FALSE result to calculate the Commission.</t>
  </si>
  <si>
    <t>Since there's a different commission if the target is not met, we need to use the 1- for that case.</t>
  </si>
  <si>
    <t>We could do it all in one cell, but it's simpler and more transparent to separate.</t>
  </si>
  <si>
    <t>This is the principle used in models with 1/0 flags for different phases of the project, which are multiplied by calcs.</t>
  </si>
  <si>
    <t>For example, if we are comparing the price of two builders merchants retailers for the same products,</t>
  </si>
  <si>
    <t>we can use MAX (x, 0) to only return the values where one retailer is cheaper.</t>
  </si>
  <si>
    <t>The result can then be used in further calculations.</t>
  </si>
  <si>
    <t>=Condition</t>
  </si>
  <si>
    <t>to return TRUE or FALSE depending on whether the condition is satisfied</t>
  </si>
  <si>
    <t>=--(Condition)</t>
  </si>
  <si>
    <t>to return 1 if the condition is TRUE and 0 if FALSE</t>
  </si>
  <si>
    <t>=(Condition)*(Formula)</t>
  </si>
  <si>
    <t>to return the result of the formula if the condition is satisfied, otherwise zero</t>
  </si>
  <si>
    <t>If the FormulaToTest would return an error, the ValueIfError is displayed, otherwise the result of the formula or cell value is displayed.</t>
  </si>
  <si>
    <t>is $1000 or above.</t>
  </si>
  <si>
    <t>is $2500 or above.</t>
  </si>
  <si>
    <t>the value of the order is above $2500.</t>
  </si>
  <si>
    <t>It is better practice than IFERROR in this case, since it only traps #N/A errors and still shows if there's another error, e.g. a problem with the formula</t>
  </si>
  <si>
    <t>Age</t>
  </si>
  <si>
    <t>Amelia</t>
  </si>
  <si>
    <t>Barbara</t>
  </si>
  <si>
    <t>Christina</t>
  </si>
  <si>
    <t>Edith</t>
  </si>
  <si>
    <t>Dasha</t>
  </si>
  <si>
    <t>Lookup name</t>
  </si>
  <si>
    <t>Frances</t>
  </si>
  <si>
    <t>Age (with trap)</t>
  </si>
  <si>
    <t>=SUMIF(E4:E12,"&gt;="&amp;$E$17)</t>
  </si>
  <si>
    <t>If the value is &gt;= the value in E17 then the value is added to the total.</t>
  </si>
  <si>
    <t>It then totals the respective figures in E4:E12.</t>
  </si>
  <si>
    <t>It then identifies the entries which are equal to the contents of E18.</t>
  </si>
  <si>
    <t>SUMIFS</t>
  </si>
  <si>
    <t>This function adds the value of items which match a criterion set by the user.</t>
  </si>
  <si>
    <t>This function adds the value of items which match multiple criteria set by the user.</t>
  </si>
  <si>
    <t>=SUMIFS(RangeOfValuesToTotal,Range1OfThingsToBeExamined,Criterion1ToBeMatched,Range2OfThingsToBeExamined,Criterion2ToBeMatched,...)</t>
  </si>
  <si>
    <t>and item type</t>
  </si>
  <si>
    <t>bought before</t>
  </si>
  <si>
    <t>Total cost of item typed in following cell:</t>
  </si>
  <si>
    <t xml:space="preserve"> =SUMIFS(O4:O12,O4:O12,"&gt;="&amp;O14,M4:M12,O15)</t>
  </si>
  <si>
    <t xml:space="preserve"> =SUMIFS(O4:O12,O4:O12,"&gt;="&amp;O17,N4:N12,"&lt;"&amp;O18)</t>
  </si>
  <si>
    <t>This examines the values in O4:O12 and identified the entries which are &gt;= the value in O14.</t>
  </si>
  <si>
    <t>It then examines the values in M4:M12 and identified the entries which are equal to the value in O15.</t>
  </si>
  <si>
    <t>It totals the respective figures in O4:O12 where both are true.</t>
  </si>
  <si>
    <t>This examines the values in O4:O12 and identified the entries which are &gt;= the value in O17.</t>
  </si>
  <si>
    <t>It then examines the values in N4:N12 and identified the entries which are less than (before) the value in O18.</t>
  </si>
  <si>
    <r>
      <rPr>
        <b/>
        <sz val="10"/>
        <rFont val="Arial"/>
        <family val="2"/>
      </rPr>
      <t>Beware!</t>
    </r>
    <r>
      <rPr>
        <sz val="10"/>
        <rFont val="Arial"/>
        <family val="2"/>
      </rPr>
      <t xml:space="preserve"> The syntax is the opposite way around from SUMIF - the range of values to total comes first, followed by the range(s) to the examined.</t>
    </r>
  </si>
  <si>
    <t>RangeOfThingsToBeExamined</t>
  </si>
  <si>
    <t>In the last two examples, the RangeOfValuesToTotal can be omitted as it is the same as the</t>
  </si>
  <si>
    <t>It is better practice (as more flexible and transparent) to put the criterion to be matched in its own cell</t>
  </si>
  <si>
    <t xml:space="preserve"> (e.g. rows 17 and 18) than include it in the formula (e.g. rows 14 and 15)</t>
  </si>
  <si>
    <t>In particular, it returns zero where there is no match, rather than an error.</t>
  </si>
  <si>
    <t>Additional example</t>
  </si>
  <si>
    <t>When INDEX and MATCH are used, #N/A is returned for Frances because her name is not in the list.</t>
  </si>
  <si>
    <t>If SUMIF is used instead, a zero is returned, which is easier to work with in subsequent calculations.</t>
  </si>
  <si>
    <t>In this example, the age of two girls is looked up from a list, using two different methods</t>
  </si>
  <si>
    <t>Cost each</t>
  </si>
  <si>
    <t>No. in stock</t>
  </si>
  <si>
    <t>Total value of goods in stock</t>
  </si>
  <si>
    <t>Total cost of items costing at least</t>
  </si>
  <si>
    <t>Suburbs</t>
  </si>
  <si>
    <t>City</t>
  </si>
  <si>
    <t>Total value of goods in stock at City branch</t>
  </si>
  <si>
    <t>=SUMPRODUCT(Range1,Range2,…)</t>
  </si>
  <si>
    <t>This function multiplies corresponding items in two or more arrays and then adds up the products</t>
  </si>
  <si>
    <t>For example, the formula in G12 above calculates $80 x 2 + $90 x 4 + $35 x 10 + …</t>
  </si>
  <si>
    <t>The ranges can either be arranged vertically or horizontally but must all be the same shape</t>
  </si>
  <si>
    <t>Total value of goods type</t>
  </si>
  <si>
    <t>Average value of goods type</t>
  </si>
  <si>
    <t>The inclusion of the range --($C$4:$C$10=G$26) in the sumproduct is equivalent to including a column of 1s and 0s where 1 represents where the value is equal to the value in</t>
  </si>
  <si>
    <t>G26 (i.e. where the goods type is tyres), i.e. includes only tyres in the calculation</t>
  </si>
  <si>
    <t>Conditional SUMPRODUCT - Example 1</t>
  </si>
  <si>
    <t>Total value of goods worth under</t>
  </si>
  <si>
    <t>CHOOSE</t>
  </si>
  <si>
    <t>Option 1</t>
  </si>
  <si>
    <t>Revenue ($m)</t>
  </si>
  <si>
    <t>Journeys (m)</t>
  </si>
  <si>
    <t>Option 2</t>
  </si>
  <si>
    <t>Option 3</t>
  </si>
  <si>
    <t>Choose option number</t>
  </si>
  <si>
    <t>Unlike the INDEX function, the values being selected from do not need to be in a single continuous array</t>
  </si>
  <si>
    <t>=CHOOSE(ValueNumber,Value1,Value2,Value3,…)</t>
  </si>
  <si>
    <t>This function selects the nth value out of a list of up to 254 option values.</t>
  </si>
  <si>
    <t>Working with dates</t>
  </si>
  <si>
    <t>Quarter start</t>
  </si>
  <si>
    <t>Quarter end</t>
  </si>
  <si>
    <t>Year (cal)</t>
  </si>
  <si>
    <t>No. of days</t>
  </si>
  <si>
    <t>Today's date</t>
  </si>
  <si>
    <t>Date of the end of the month</t>
  </si>
  <si>
    <t>Date of the end of the month after next</t>
  </si>
  <si>
    <t>Current year</t>
  </si>
  <si>
    <t>Days between now and</t>
  </si>
  <si>
    <t>NOW()</t>
  </si>
  <si>
    <t>Returns the date and time at the point calculated (can format to show the date, time or both)</t>
  </si>
  <si>
    <t>-</t>
  </si>
  <si>
    <t>The value Excel stores for dates and times is the number of days, where 1 is midnight on 1 January 1900</t>
  </si>
  <si>
    <t>Date and time</t>
  </si>
  <si>
    <t>Excel value</t>
  </si>
  <si>
    <t>Number formatting can be used to show date, time or both</t>
  </si>
  <si>
    <t>For example:</t>
  </si>
  <si>
    <t>Date Values</t>
  </si>
  <si>
    <t>EOMONTH</t>
  </si>
  <si>
    <t>Returns the date at the end of the month, a specified number of months after a given date</t>
  </si>
  <si>
    <t>EDATE</t>
  </si>
  <si>
    <t>Returns the date a specified number of months after a given date</t>
  </si>
  <si>
    <t>Date in a year's time</t>
  </si>
  <si>
    <t>YEAR</t>
  </si>
  <si>
    <t>Returns the year that a specified date falls in</t>
  </si>
  <si>
    <t>Example - Model Timeline</t>
  </si>
  <si>
    <t>=EOMONTH(Date,NoOfMonths)</t>
  </si>
  <si>
    <t>=EDATE(Date,NoOfMonths)</t>
  </si>
  <si>
    <t>Year (fin)</t>
  </si>
  <si>
    <t>Current month</t>
  </si>
  <si>
    <t>Current day of month</t>
  </si>
  <si>
    <t>MONTH</t>
  </si>
  <si>
    <t>Returns the month (1 to 12) that a specified date falls in</t>
  </si>
  <si>
    <t>DAY</t>
  </si>
  <si>
    <t>Returns the day of the month (1 to 31) of a specified date</t>
  </si>
  <si>
    <t>=MONTH (Date)</t>
  </si>
  <si>
    <t>=YEAR(Date)</t>
  </si>
  <si>
    <t>=DAY(Date)</t>
  </si>
  <si>
    <t>Alternatively you can also hit CTRL and "[" to navigate to the first precedent cell.</t>
  </si>
  <si>
    <t>It also works perfectly well with only one criterion, so can be used in place of SUMIF and is more flexible for extension.</t>
  </si>
  <si>
    <t>Including an array of 1s and 0s in the calculation includes only selected items, e.g. the formula in G13 sums only the value of goods in the City branch (items where col G = 1)</t>
  </si>
  <si>
    <t>Jan 01 18</t>
  </si>
  <si>
    <t>Months in quarter</t>
  </si>
  <si>
    <t>Month of FY end</t>
  </si>
  <si>
    <t>TODAY()</t>
  </si>
  <si>
    <t>Current date and time</t>
  </si>
  <si>
    <t>Returns the date at the point calculated</t>
  </si>
  <si>
    <t>=COUNT(Range1,Range2,Range3... through to Range256)</t>
  </si>
  <si>
    <t>Jan &amp; Mar</t>
  </si>
  <si>
    <t>All Months</t>
  </si>
  <si>
    <t>*difference is the result of XNPV always using 365 day years, ignoring leap years</t>
  </si>
  <si>
    <t>Excel XNPV</t>
  </si>
  <si>
    <t>Multiply the Excel XNPV by the 1st discount period to show the difference with Excel NPV</t>
  </si>
  <si>
    <t>Excel NPV</t>
  </si>
  <si>
    <t>Discounted Cash Flow</t>
  </si>
  <si>
    <t>Discount Factor</t>
  </si>
  <si>
    <t>Nominal Discount Rate</t>
  </si>
  <si>
    <t>Period Count</t>
  </si>
  <si>
    <t>Financial year end</t>
  </si>
  <si>
    <t>Free Cash Flow</t>
  </si>
  <si>
    <t>AUD</t>
  </si>
  <si>
    <t>Service payment</t>
  </si>
  <si>
    <t>Net present value discounted to:</t>
  </si>
  <si>
    <t>Annual</t>
  </si>
  <si>
    <t>Quarterly</t>
  </si>
  <si>
    <t>Both NPV and XNPV calculate the net present value of a stream of cashflows but there are differences between them which are important to understand.</t>
  </si>
  <si>
    <t>For XNPV:</t>
  </si>
  <si>
    <t>For NPV:</t>
  </si>
  <si>
    <t>- The discount rate must be annual</t>
  </si>
  <si>
    <t>- No discounting is applied to the first period's data, i.e. cashflows are discounted to that date/period</t>
  </si>
  <si>
    <t>- One period of discounting is applied to the first period's data, i.e. cashflows are discounted to one period earluier</t>
  </si>
  <si>
    <t>- The calculation assumes 365 days in each year, i.e. doesn't account for leap years</t>
  </si>
  <si>
    <t>=XNPV(AnnualDiscountRate,DataRange,DateRange)</t>
  </si>
  <si>
    <t>=NPV(DiscountRate,DataRange)</t>
  </si>
  <si>
    <t>NPV and XNPV</t>
  </si>
  <si>
    <t>Interest rate</t>
  </si>
  <si>
    <t>Debt facility term</t>
  </si>
  <si>
    <t>years</t>
  </si>
  <si>
    <t>%</t>
  </si>
  <si>
    <t>Year no.</t>
  </si>
  <si>
    <t>Drawdown</t>
  </si>
  <si>
    <t>$m</t>
  </si>
  <si>
    <t>Total repayments</t>
  </si>
  <si>
    <t>PMT, PPMT and IPMT</t>
  </si>
  <si>
    <t>Principal repayments</t>
  </si>
  <si>
    <t>Interest repayments</t>
  </si>
  <si>
    <t>Check principal + interest = total</t>
  </si>
  <si>
    <t>- The dates must be sequential and (approximately) evenly distributed - e.g. monthly, quarterly or annual</t>
  </si>
  <si>
    <t>- The dates need to be sequential but can have any spacing between them</t>
  </si>
  <si>
    <t>Note:</t>
  </si>
  <si>
    <t>- The periods must be sequential and of (approximately) even length (e.g. months, quarters or years), and correspond to the repayment frequency</t>
  </si>
  <si>
    <t>- The results returned will be negative, so may need to be converted to positive depending on sign convention</t>
  </si>
  <si>
    <t>=PMT(InterestRate,NumberOfPeriods,DebtAmount)</t>
  </si>
  <si>
    <t>=PPMT(InterestRate,PeriodNumber,NumberOfPeriods,DebtAmount)</t>
  </si>
  <si>
    <t>=IPMT(InterestRate,PeriodNumber,NumberOfPeriods,DebtAmount)</t>
  </si>
  <si>
    <t>Debt repayment period counter</t>
  </si>
  <si>
    <t>no.</t>
  </si>
  <si>
    <t>Opening balance</t>
  </si>
  <si>
    <t>Interest expense</t>
  </si>
  <si>
    <t>Closing balance</t>
  </si>
  <si>
    <t>Facility 1</t>
  </si>
  <si>
    <t>Facility 2</t>
  </si>
  <si>
    <t>Conversion to Facility 2</t>
  </si>
  <si>
    <t>Facility 1 period counter</t>
  </si>
  <si>
    <t>Facility 2 period counter</t>
  </si>
  <si>
    <t>Example - 2 facilities (refinance)</t>
  </si>
  <si>
    <t>Checks</t>
  </si>
  <si>
    <t>Interest calculated = repayment</t>
  </si>
  <si>
    <t>Facility 1 IPMT+PPMT=PMT</t>
  </si>
  <si>
    <t>Facility 2 IPMT+PPMT=PMT</t>
  </si>
  <si>
    <t>Interest repayment</t>
  </si>
  <si>
    <t>Principal repayment</t>
  </si>
  <si>
    <t>- These formulae only work for periods over which the interest rate is fixed - if there's refinancing, you need to do it in stages (see below)</t>
  </si>
  <si>
    <t>When a precedent/dependent is on another sheet, double click on the arrow box.</t>
  </si>
  <si>
    <t>Hint: Hit F5 to return to the original formula</t>
  </si>
  <si>
    <t>Proforma FY12 bank interest calculation (using 31-May-2012 cash balance)</t>
  </si>
  <si>
    <t>Expected June 2012 interest rate</t>
  </si>
  <si>
    <t>Total cash at bank at 31 May 2012</t>
  </si>
  <si>
    <t>YTD interest received</t>
  </si>
  <si>
    <t>Forecast June 2012 interest</t>
  </si>
  <si>
    <t>Forecast total FY12 interest</t>
  </si>
  <si>
    <t>Bank data</t>
  </si>
  <si>
    <t>ABC Pty Ltd</t>
  </si>
  <si>
    <t>Bank account balances</t>
  </si>
  <si>
    <t>as at 31 March 2012</t>
  </si>
  <si>
    <t>Account #</t>
  </si>
  <si>
    <t>YTD interest</t>
  </si>
  <si>
    <t>Evaluate a formula in steps to verify it's working as intended</t>
  </si>
  <si>
    <r>
      <t xml:space="preserve">Go to: </t>
    </r>
    <r>
      <rPr>
        <b/>
        <sz val="10"/>
        <color rgb="FF000000"/>
        <rFont val="Arial"/>
        <family val="2"/>
      </rPr>
      <t>Formulas - Formula Auditing Toolbar</t>
    </r>
  </si>
  <si>
    <t>Monitor the result of a selected formula as you change inputs or coding</t>
  </si>
  <si>
    <t>Trace Precedents/Dependents</t>
  </si>
  <si>
    <t>Use the Trace Precedents/Dependents tools to identify the two errors in this calculation:</t>
  </si>
  <si>
    <t>Evaluate formula</t>
  </si>
  <si>
    <t>Try it with this SUMPRODUCT:</t>
  </si>
  <si>
    <t>(G28 in SUMPRODUCT sheet)</t>
  </si>
  <si>
    <r>
      <t xml:space="preserve">Choose carefully between them and make any adjustments necessary to the calculation. </t>
    </r>
    <r>
      <rPr>
        <b/>
        <sz val="10"/>
        <rFont val="Arial"/>
        <family val="2"/>
      </rPr>
      <t>If in doubt or you need additional flexibility, calculate the NPV manually instead of using NPV/XNPV.</t>
    </r>
  </si>
  <si>
    <t>Sales assistant</t>
  </si>
  <si>
    <t>Andrew</t>
  </si>
  <si>
    <t>Charles</t>
  </si>
  <si>
    <t>Edward</t>
  </si>
  <si>
    <t>Freddie</t>
  </si>
  <si>
    <t>2017 Revenue</t>
  </si>
  <si>
    <t>2017 Sales</t>
  </si>
  <si>
    <t>2018 Target Sales</t>
  </si>
  <si>
    <t>2018 Target Revenue</t>
  </si>
  <si>
    <t>Total 2018 sales target</t>
  </si>
  <si>
    <t>The data sheet contains a list of staff and the calculation of their 2018 sales targets</t>
  </si>
  <si>
    <t>In addition, a new team member is expected to sell</t>
  </si>
  <si>
    <t>Watch window</t>
  </si>
  <si>
    <t>Freddie's sales target</t>
  </si>
  <si>
    <t>Data for trace precedents/dependents 2 and watch window</t>
  </si>
  <si>
    <t>Data for trace precedents/dependents 1</t>
  </si>
  <si>
    <t>BPM Traverse is a more sophisticated version of Trace Precedents</t>
  </si>
  <si>
    <t>Use the Trace Precedents tool to work out where the error below is introduced</t>
  </si>
  <si>
    <t>Click on one of these and select Go To to navigate to it</t>
  </si>
  <si>
    <t>Colours show which terms/precedents are the same as each other</t>
  </si>
  <si>
    <t>Initial drawdown</t>
  </si>
  <si>
    <t>Investment</t>
  </si>
  <si>
    <t>Dividends</t>
  </si>
  <si>
    <t>Cash flow</t>
  </si>
  <si>
    <t>Internal rate of return</t>
  </si>
  <si>
    <t>Using IRR</t>
  </si>
  <si>
    <t>Using XIRR</t>
  </si>
  <si>
    <t>Both IRR and XIRR calculate the internal rate of return of a stream of cashflows but there are differences between them which are important to understand.</t>
  </si>
  <si>
    <t>For IRR:</t>
  </si>
  <si>
    <t>- The IRR returned will align to the lengths of the periods modelled, e.g. in the example above it's annual</t>
  </si>
  <si>
    <t xml:space="preserve">Choose carefully between them and make any adjustments necessary to the calculation. </t>
  </si>
  <si>
    <t>The internal rate of return is the discount rate at which the NPV (using NPV for IRR and XNPV for XIRR) would be zero.</t>
  </si>
  <si>
    <t>=IRR(DataRange)</t>
  </si>
  <si>
    <t xml:space="preserve">or </t>
  </si>
  <si>
    <t>=IRR(DataRange,Guess)</t>
  </si>
  <si>
    <t>In both cases, the cashflows need to include at least one positive and at least one negative value.</t>
  </si>
  <si>
    <t>=XIRR(DataRange,DateRange)</t>
  </si>
  <si>
    <t>=XIRR(DataRange,DateRange,Guess)</t>
  </si>
  <si>
    <t>Try this if it fails without - Excel solves this iteratively and sometimes needs an initial "guess" of the IRR as a starting point</t>
  </si>
  <si>
    <t>NPV, discounted to</t>
  </si>
  <si>
    <t>Annual IRR</t>
  </si>
  <si>
    <t>Check NPV</t>
  </si>
  <si>
    <t>Using NPV/IRR</t>
  </si>
  <si>
    <t>Using XNPV/XIRR</t>
  </si>
  <si>
    <t>IRR and XIRR</t>
  </si>
  <si>
    <t>*Need to adjust to get annual rate - IRR formula returns quarterly rate since data are quarterly</t>
  </si>
  <si>
    <t>- The IRR returned will be annual</t>
  </si>
  <si>
    <t>value1, value2, …</t>
  </si>
  <si>
    <t>Adds the arguments together. The arguments can be single cells or ranges, or both. Non-numerical values are ignored.</t>
  </si>
  <si>
    <t>Multiplies the arguments together. The arguments can be single cells or ranges, or both. Non-numerical values are ignored.</t>
  </si>
  <si>
    <t>PRODUCT</t>
  </si>
  <si>
    <t>array1, array2, …</t>
  </si>
  <si>
    <t>Multiplies the elements of the arrays together, then adds the result. The arrays have to have the same dimensions. Non-numeric values are treated as zeroes.</t>
  </si>
  <si>
    <t>Returns the average (arithmetic mean) of the arguments. The arguments can be single cells or ranges, or both. Non-numerical values are ignored</t>
  </si>
  <si>
    <t>SQRT</t>
  </si>
  <si>
    <t>number, number of digits</t>
  </si>
  <si>
    <t>number</t>
  </si>
  <si>
    <t>Returns the square root of the number</t>
  </si>
  <si>
    <t>ROUND</t>
  </si>
  <si>
    <t>Rounds the number to the number of digits specified. E.g. number of
Number, number digits = 1 rounds to 1 decimal place, 2 to 2 d.p.s, etc. Using a negative number of digits allows rounding to 10, 100, etc. (though usually better to do this via formatting). Using zero rounds to the nearest whole number.</t>
  </si>
  <si>
    <t>Rounds the number to the nearest multiple. E.g. MROUND(12,5) returns 10.</t>
  </si>
  <si>
    <t>MROUND</t>
  </si>
  <si>
    <t>number, multiple</t>
  </si>
  <si>
    <t>Rounds a number upwards, away from zero (negative numbers become 'more negative').</t>
  </si>
  <si>
    <t>Rounds a number downwards, towards zero (negative numbers become 'less negative').</t>
  </si>
  <si>
    <t>ROUNDUP</t>
  </si>
  <si>
    <t>ROUNDDOWN</t>
  </si>
  <si>
    <t>Numbers</t>
  </si>
  <si>
    <t>ABS</t>
  </si>
  <si>
    <t>Returns the absolute value of the number (i.e. negative numbers become positive, but not vice versa).</t>
  </si>
  <si>
    <t>SIGN</t>
  </si>
  <si>
    <t>Returns 1 for a positive number, 0 for zero, and -1 for a negative number.</t>
  </si>
  <si>
    <t>MOD</t>
  </si>
  <si>
    <t>number, divisor</t>
  </si>
  <si>
    <t>Description</t>
  </si>
  <si>
    <t>Returns the modulo, or remainder, of the number when it is divided by the divisor. E.g. MOD(21,5) returns 1.</t>
  </si>
  <si>
    <t>Counts the number of cells that contain numbers. The arguments can be single cells or ranges, or both.</t>
  </si>
  <si>
    <t>Counts the number of cells that are not empty (i.e. contain a value or a formula). The arguments can be single cells or ranges, or both.</t>
  </si>
  <si>
    <t>COUNTA</t>
  </si>
  <si>
    <t>COUNTBLANK</t>
  </si>
  <si>
    <t>Counts the number of cells that are blank. An empty string ("") counts as blank. The arguments can be single cells or ranges, or both.</t>
  </si>
  <si>
    <t>Returns the minimum of the values. The arguments can be single cells or ranges, or both. Non-numerical values are ignored.</t>
  </si>
  <si>
    <t>Returns the maximum of the values. The arguments can be single cells or ranges, or both. Non-numerical values are ignored.</t>
  </si>
  <si>
    <t>Text</t>
  </si>
  <si>
    <t>Arguments</t>
  </si>
  <si>
    <t>LEFT</t>
  </si>
  <si>
    <t>RIGHT</t>
  </si>
  <si>
    <t>text, no. of characters</t>
  </si>
  <si>
    <t>Returns the leftmost character(s) of the text, according to the number specified. E.g. LEFT("Ernst and Young", 3) returns "Ern"</t>
  </si>
  <si>
    <t>Returns the rightmost character(s) of the text, according to the number specified. E.g. RIGHT("Ernst and Young", 6) returns " Young" (a space counts as a character)</t>
  </si>
  <si>
    <t>MID</t>
  </si>
  <si>
    <t>text, start position, number of characters</t>
  </si>
  <si>
    <t>Returns a portion of the text, starting at the character number specified, and continuing for the number of characters specified. E.g. MID("Ernst and Young",7,4) returns "and " (a space counts as a character).</t>
  </si>
  <si>
    <t>LEN</t>
  </si>
  <si>
    <t>text</t>
  </si>
  <si>
    <t>Returns the number of characters in the text. E.g. LEN("Ernst and Young") returns 15</t>
  </si>
  <si>
    <t>LOWER</t>
  </si>
  <si>
    <t>UPPER</t>
  </si>
  <si>
    <t>Puts the text in lower case</t>
  </si>
  <si>
    <t>PROPER</t>
  </si>
  <si>
    <t>Puts the text in UPPER CASE</t>
  </si>
  <si>
    <t>Puts the text in Proper Case</t>
  </si>
  <si>
    <t>CONCATENATE or &amp;</t>
  </si>
  <si>
    <t>Joins together the specified pieces of text into one piece. E.g. CONCATENATE("He", "Ilo") and "He" &amp; "Ilo" both return "Hello".</t>
  </si>
  <si>
    <t>text1, text2, …</t>
  </si>
  <si>
    <t>FIND or SEARCH</t>
  </si>
  <si>
    <t>text to look for, text to search within, [start number]</t>
  </si>
  <si>
    <t>Returns the position of the first character of the search text within the text being searched. You can specify where you would like the search to begin (or leave out this argument to begin at character 1). E.g. FIND ("n","Ernst and Young") returns 3.
Note that the number returned is always relative to the beginning of the text being searched, even if you specify that the search should start later on in the text. E.g. FIND("n", "Ernst and Young", 4) returns 8.
The difference between the two functions is that FIND is case-sensitive, but SEARCH is not.</t>
  </si>
  <si>
    <t>VALUE</t>
  </si>
  <si>
    <t>SUBSTITUTE</t>
  </si>
  <si>
    <t>Substitutes the old text with the new text within the search text. If the instance number is not specified, all instances are replaced. E.g. SUBSTITUTE("Ernst and Young", "n","x") returns "Erxst axd Youxg", SUBSTITUTE("Ernst and Young", "n","x",2) returns "Ernst axd Young".</t>
  </si>
  <si>
    <t>REPLACE</t>
  </si>
  <si>
    <t>Deletes the number of characters specified from the starting point specified in the old text, and inserts the new text. E.g. REPLACE("Ernst and Young",7,3,"&amp;") returns "Ernst &amp; Young".</t>
  </si>
  <si>
    <t>TEXT</t>
  </si>
  <si>
    <t>Turns a value into text, using the number format specified (using the same number formats you do when formatting numbers in a spreadsheet). E.g. TEXT(0.25, "hh:mm") returns "06:00". Note that this is text, not a number. If you wish the value to remain a number, format it within the spreadsheet. Another useful example is TEXT(45, "0000"), which returns "0045".</t>
  </si>
  <si>
    <t>TRIM</t>
  </si>
  <si>
    <t>Removes all spaces from the beginning and the end of the text. This can be useful when you are cleaning up data. E.g. TRIM(" Ernst and Young ") returns "Ernst and Young". This can be very helpful occasionally when you cannot understand why a MATCH or SUMIF is failing.</t>
  </si>
  <si>
    <t>number stored as text</t>
  </si>
  <si>
    <t>value, text format</t>
  </si>
  <si>
    <t>old text, start number, number of characters, new text</t>
  </si>
  <si>
    <t>text, old text, new text, [instance number]</t>
  </si>
  <si>
    <t>Converts a numeric value stored as text or containing spaces to a number. This can be useful when you are cleaning up data for analysis. E.g. VALUE("  2  ") will return 2 as a number.</t>
  </si>
  <si>
    <t>Logic</t>
  </si>
  <si>
    <t>=</t>
  </si>
  <si>
    <t>value1, value2</t>
  </si>
  <si>
    <t>Returns TRUE if value 1 is less than value 2, and FALSE if not. E.g. 4&lt;(2*3) returns TRUE, --(ROUND(12.34,0)&lt;12.31) returns 1.</t>
  </si>
  <si>
    <t>&lt;</t>
  </si>
  <si>
    <t>&gt;</t>
  </si>
  <si>
    <t>Returns TRUE if value 1 is greater than value 2, and FALSE if not. E.g. Pl()&gt;3 returns TRUE, --(3&gt;(2+5)) returns 0.</t>
  </si>
  <si>
    <t>&lt;=</t>
  </si>
  <si>
    <t>&gt;=</t>
  </si>
  <si>
    <t>As &lt; but less than or equal to</t>
  </si>
  <si>
    <t>As &gt; but greater than or equal to</t>
  </si>
  <si>
    <t>NOT</t>
  </si>
  <si>
    <t>Returns FALSE when the expression is TRUE, and vice versa, e.g. --NOT(4=2*2) returns 0.</t>
  </si>
  <si>
    <t>logical expression1, logical expression2, ...</t>
  </si>
  <si>
    <t>logical expression</t>
  </si>
  <si>
    <t>Returns TRUE if at least one expression is TRUE.</t>
  </si>
  <si>
    <t>Evaluates the logical expression and returns the second argument if it is TRUE, and the third if it is FALSE. E.g. IF(4=SUM(3,5),"OK", "Error") returns "Error".</t>
  </si>
  <si>
    <t>logical expression, value if true, value if false</t>
  </si>
  <si>
    <t>ISODD</t>
  </si>
  <si>
    <t>value</t>
  </si>
  <si>
    <t>Returns TRUE if the two values are equal, and FALSE if not. E.g. "Hello"=("Hel" &amp; "lo") and 5= ROUND(5.123,0) both return TRUE, 4=MAX(3,4,5) returns FALSE. Prefixing with '--' turns a TRUE into a 1 or a FALSE into a zero. E.g. --("Hel"=LEFT("Hello",3)) returns 1. Also works with text.</t>
  </si>
  <si>
    <t>Returns TRUE if the value (rounded down to a whole number) is odd and false otherwise</t>
  </si>
  <si>
    <t>ISEVEN</t>
  </si>
  <si>
    <t>Returns TRUE if the value (rounded down to a whole number) is even and false otherwise</t>
  </si>
  <si>
    <t>ISBLANK</t>
  </si>
  <si>
    <t>Returns TRUE if that value is blank, and FALSE otherwise (note that an empty string ("") does not count as blank in this case).</t>
  </si>
  <si>
    <t>ISNUMBER</t>
  </si>
  <si>
    <t>Returns TRUE if the value is a number, and FALSE otherwise.</t>
  </si>
  <si>
    <t>ISTEXT</t>
  </si>
  <si>
    <t>Returns TRUE if the value is text, and FALSE otherwise.</t>
  </si>
  <si>
    <t>ISERROR</t>
  </si>
  <si>
    <t>Returns TRUE if the value is any error, and FALSE otherwise. This function should be used with caution - it is easy to trap errors that were not anticipated, as its scope is very wide.</t>
  </si>
  <si>
    <t>ISERR</t>
  </si>
  <si>
    <t>Returns TRUE if the value is any error other than #N/A, and FALSE otherwise. This function should be used with caution - it is easy to trap errors that were not anticipated, as its scope is very wide.</t>
  </si>
  <si>
    <t>Returns TRUE if the value is an #N/A error, and FALSE otherwise. This can be a useful error trap when using MATCH.</t>
  </si>
  <si>
    <r>
      <rPr>
        <b/>
        <sz val="10"/>
        <color rgb="FFFF0000"/>
        <rFont val="Arial"/>
        <family val="2"/>
      </rPr>
      <t>Health Warning</t>
    </r>
    <r>
      <rPr>
        <b/>
        <sz val="10"/>
        <color indexed="8"/>
        <rFont val="Arial"/>
        <family val="2"/>
      </rPr>
      <t xml:space="preserve"> / Example 3</t>
    </r>
  </si>
  <si>
    <t>value, value to return if error</t>
  </si>
  <si>
    <t>Returns the value unless it is an error, otherwise the second value. This function should be used with caution - it is easy to trap errors that were not anticipated, as its scope is very wide.</t>
  </si>
  <si>
    <t>Time and date</t>
  </si>
  <si>
    <t>HOUR</t>
  </si>
  <si>
    <t>Returns the hour of the value. E.g. HOUR(22:55:14) returns 22.</t>
  </si>
  <si>
    <t>MINUTE</t>
  </si>
  <si>
    <t>Returns the minute of the value. E.g. MINUTE(22:55:14) returns 55.</t>
  </si>
  <si>
    <t>SECOND</t>
  </si>
  <si>
    <t>Returns the second of the value. E.g. SECOND(22:55:14) returns 14.</t>
  </si>
  <si>
    <t>TIME</t>
  </si>
  <si>
    <t>hours, minutes, second</t>
  </si>
  <si>
    <t>Converts hours, minutes and seconds to a time serial number, i.e. fraction of a day. E.g. TIME(6,0,0) returns 0.25, i.e. one quarter of a day. This can be formatted as a time within the spreadsheet.</t>
  </si>
  <si>
    <t>TIMEVALUE</t>
  </si>
  <si>
    <t>Converts a text time to a serial number. E.g. TIMEVALUE ("06:00") returns 0.25. This can then be formatted as a time within the spreadsheet.</t>
  </si>
  <si>
    <t>Returns the year of the value. E.g. YEAR(22 Sep 2012) returns 2012.</t>
  </si>
  <si>
    <t>Returns the month of the value, as a number. E.g. MONTH(22 Sep 2012) returns 9.</t>
  </si>
  <si>
    <t>Returns the day of the value. E.g. DAY(22 Sep 2012) returns 22.</t>
  </si>
  <si>
    <t>WEEKDAY</t>
  </si>
  <si>
    <t>value, output format</t>
  </si>
  <si>
    <t>Returns a number corresponding to the day of the week (from 1 to 7 or 0 to 6). The value of the output number depends on the choice of second argument - for example 1 means 1=Sunday to 7=Saturday, 2 means 1=Monday to 7=Sunday. E.g. WEEKDAY(22 Sep 2012,1) returns 7, WEEKDAY(22 Sep 2012,2) returns 6. This can be converted to a day of the week using a lookup.</t>
  </si>
  <si>
    <t>DATE</t>
  </si>
  <si>
    <t>year, month, day</t>
  </si>
  <si>
    <t>DATEVALUE</t>
  </si>
  <si>
    <t xml:space="preserve">Converts a text date to a serial number. E.g. DATEVALUE ("6 Jan 1900") returns 6. This can then be formatted as a date within the spreadsheet. </t>
  </si>
  <si>
    <t>Converts years, months and days to a serial number (days starting 1 January 1900), e.g. DATE(1900,1,6) returns 6. This can then be formatted as a date within the spreadsheet.</t>
  </si>
  <si>
    <t>NOW</t>
  </si>
  <si>
    <t>[none]</t>
  </si>
  <si>
    <t>TODAY</t>
  </si>
  <si>
    <t>serial number, months later</t>
  </si>
  <si>
    <t>Returns the date at the end of the month, a specified number of months after the input date.</t>
  </si>
  <si>
    <t>Returns the date a specified number of months after the input date.</t>
  </si>
  <si>
    <t>Conditional functions</t>
  </si>
  <si>
    <t>Counts the number of cells in the range that satisfy the specified criterion. E.g. COUNTIF(A1:A5,10) counts all cells in A1:A5 with the value 10 (either directly input or as the result of the formula in the cell), COUNTIF(A1:A5,"Hello") counts all cells with the value "Hello"; COUNTIF(A1:A5, "&lt;10") counts all cells with value less than 10; COUNTIF(A1:A5,"&lt;"&amp;B6) counts all cells with values less than the value in B6 - note the quotation marks around the criterion in the last two examples.</t>
  </si>
  <si>
    <t>range, criterion</t>
  </si>
  <si>
    <t>range1, criterion1, range2, criterion2, …</t>
  </si>
  <si>
    <t>lookup range, criterion, sum range</t>
  </si>
  <si>
    <t>Sums the cells in the sum range for which the equivalent cells in the lookup range meet the specified criterion. The sum range can be the same as the lookup range, in which case it does not need to be specified. E.g. SUMIF(A1:A5,"&gt;10") sums all the cells in A1:A5 that are greater than 10.
The lookup range and sum range must have the same dimensions. Note that in SUMIF the lookup range comes first, but in SUMIFS the sum range comes first.</t>
  </si>
  <si>
    <t>Sums the cells in the sum range for which the equivalent cells in the lookup ranges each satisfy the relevant criterion. E.g. SUMIFS(A1:A5,131:135, "Hello",C1:C5, "&lt;10") sums all the cells in Al:A5 for which the equivalent cell in B1:B5 has the value "Hello", and the equivalent cell in C1:C5 is less than 10.
The lookup range(s) and sum ranges must have the same dimensions. Note that in SUMIF the lookup range comes first, but in SUMIFS the sum range comes first.
SUMIFS is more flexible than SUMIF (easier to extend to add a criterion) and works with only one criterion, so is recommended for use whenever you might use SUMIF.</t>
  </si>
  <si>
    <t>Counts the number of cells in the ranges that satisfy all of the specified criteria. E.g. COUNTIFS(A1:A5,"&gt;=2",B1:135, "Hello") counts all the instances of a cell in A1:A5 being greater than or equal to 2 and the equivalent cell in B1:B5 having the value "Hello". The ranges must have the same dimensions.
COUNTIFS is more flexible than COUNTIF (easier to extend to add a criterion) and works with only one criterion, so is recommended for use whenever you might use COUNTIF.</t>
  </si>
  <si>
    <t>sum range, lookup range1, criterion1, lookup range2, criterion2, …</t>
  </si>
  <si>
    <t>AVERAGEIF</t>
  </si>
  <si>
    <t>lookup range, criterion, average range</t>
  </si>
  <si>
    <t>AVERAGEIFS</t>
  </si>
  <si>
    <t>average range, lookup range1, criterion1, lookup range2, criterion2, …</t>
  </si>
  <si>
    <t>As SUMIF, but returns the average (arithmetic mean) rather than the sum.</t>
  </si>
  <si>
    <t>As SUMIFS, but returns the average (arithmetic mean) rather than the sum.</t>
  </si>
  <si>
    <t>Lookups and referencing</t>
  </si>
  <si>
    <t>ROW</t>
  </si>
  <si>
    <t>Returns the row number of the reference, or the row number of the cell in which the formula is entered if no argument is specified. E.g. ROW(A4) returns 4; ROW() entered in cell B10 returns 10.</t>
  </si>
  <si>
    <t>COLUMN</t>
  </si>
  <si>
    <t>Returns the column number of the reference, or the column number of the cell in which the formula is entered if no argument is specified. E.g. COLUMN(A4) returns 1; COLUMN() entered in cell B10 returns 2. A lookup can then be used to convert the column numbers to letters.</t>
  </si>
  <si>
    <t>Returns a serial number for the date at the moment of calculation. Needs brackets, so enter as TODAY().</t>
  </si>
  <si>
    <t>Returns a serial number for the date and time at the moment of calculation. Needs brackets, so enter as NOW().</t>
  </si>
  <si>
    <t>Returns the nth value as specified by the index number, n. E.g. CHOOSE(1,4,8) returns 4; CHOOSE(2,4,8) returns 8. Similar to INDEX, but can be used in non-contiguous cells.
The values can be ranges, so that CHOOSE can return a range. CHOOSE can therefore be nested inside functions with arrays as arguments. E.g. COUNTIF(CHOOSE(1,A1:A5,B1:B5),10) is equivalent to COUNTIF(A1:A5,10).</t>
  </si>
  <si>
    <t>[cell reference]</t>
  </si>
  <si>
    <t>index number, value1, value2, ...</t>
  </si>
  <si>
    <t>lookup value, array, match type</t>
  </si>
  <si>
    <t>What this function returns depends on the value of the final argument. We most often use a value of 0. In this case, MATCH returns the element number of the first instance of the lookup value in the array. E.g. if A1:A5 contained the values 1,2,6,8,9, MATCH(8,A1:A5,0) returns 4. If the lookup value cannot be found, MATCH returns an #N/A error.
The other possible values for the third argument are -1 and 1. For -1, MATCH returns the smallest value that is greater than or equal to the lookup value - the array must be in descending order. For 1, MATCH returns the largest value that is less than or equal to the lookup value - the array must be in ascending order.
Note the default value for the third argument is -1, not 0, so don't omit the zero!</t>
  </si>
  <si>
    <t>VLOOKUP</t>
  </si>
  <si>
    <t>HLOOKUP</t>
  </si>
  <si>
    <t>lookup value, array, column number, exact match Boolean</t>
  </si>
  <si>
    <r>
      <t xml:space="preserve">Equivalent to VLOOKUP, but the row is specified by the user, and the column is found by looking for the lookup value in the top row. E.g. if A1:A5 contains the values 1,2,3,4,5 and B1:135 contains the values "a" "b", "c", "d", "e", HLOOKUP("a",A1:65,4,FALSE) returns "d".
Again, INDEX(MATCH()) is more flexible and robust. </t>
    </r>
    <r>
      <rPr>
        <b/>
        <sz val="10"/>
        <rFont val="Arial"/>
        <family val="2"/>
      </rPr>
      <t>We strongly recommend you don't use HLOOKUP.</t>
    </r>
  </si>
  <si>
    <t>OFFSET</t>
  </si>
  <si>
    <t>reference, rows, columns, [height], [width]</t>
  </si>
  <si>
    <t>INDIRECT</t>
  </si>
  <si>
    <t>reference, [reference type Boolean]</t>
  </si>
  <si>
    <r>
      <t>Returns the value of the cell specified in the reference. E.g. INDIRECT("A1") returns the value of the cell A1, and INDIRECT("Data!A1") returns the value of the cell A1 in the sheet 'Data'.
The second argument is rarely used. In the very unusual case where R1C1 style referencing is being used, it should be set to FALSE.
To an even greater extent than OFFSET, INDIRECT is untraceable, and therefore</t>
    </r>
    <r>
      <rPr>
        <b/>
        <sz val="10"/>
        <rFont val="Arial"/>
        <family val="2"/>
      </rPr>
      <t xml:space="preserve"> should be avoided where possibl</t>
    </r>
    <r>
      <rPr>
        <sz val="10"/>
        <rFont val="Arial"/>
        <family val="2"/>
      </rPr>
      <t>e. However, it can be very powerful, especially when combined with CONCATENATE or "&amp;" to pull together data from several sheets with the same structure.</t>
    </r>
  </si>
  <si>
    <r>
      <t>Returns the value of the cell offset from the reference by the number of rows and columns specified. E.g. OFFSET(A1,4,2) returns the value of cell C5.
If either the height or width are specified (and greater than 1), OFFSET returns an array with those dimensions — it must then be used within another function. E.g. SUM(OFFSET(A1,0,0,3,2)) is equivalent to SUM(A1:B3).
This function is not traceable with trace dependents or trace precedents and so is hard to review. Hence</t>
    </r>
    <r>
      <rPr>
        <b/>
        <sz val="10"/>
        <rFont val="Arial"/>
        <family val="2"/>
      </rPr>
      <t xml:space="preserve"> we recommend using another function where possible</t>
    </r>
    <r>
      <rPr>
        <sz val="10"/>
        <rFont val="Arial"/>
        <family val="2"/>
      </rPr>
      <t>. However, there are occasions when no other function will work.</t>
    </r>
  </si>
  <si>
    <r>
      <t>VLOOKUP is similar to INDEX(MATCH()), but less flexible and less robust. It returns a value specified by the row and column within an array. It finds the row by looking for the lookup value in the leftmost column of the array; the column is specified by the user as the third argument of the function. The final argument is similar to the final argument of the MATCH function. If it is set to FALSE, only exact matches count (equivalent to a 0 in MATCH). If it is set to TRUE, the smallest value that is greater than or equal to the lookup value counts (equivalent to -1 in MATCH) — in this case the data in the first column must be in ascending order. E.g. if Al:A5 contains the values 1,2,3,4,5 and B1:135 contains the values "a" "b", "c", "d", "e", VLOOKUP(2,A1:135,2,FALSE) returns "b".
VLOOKUP is less powerful than INDEX(MATCH()) because all of the data has to be in the same array, and the lookup column has to be leftmost. Also, if changes are made to the structure of the spreadsheet, it can end up referring to the wrong column when the column number is hard pasted, whereas INDEX(MATCH()) is always dynamic. Hence</t>
    </r>
    <r>
      <rPr>
        <b/>
        <sz val="10"/>
        <rFont val="Arial"/>
        <family val="2"/>
      </rPr>
      <t xml:space="preserve"> we strongly recommend you don't use VLOOKUP.</t>
    </r>
  </si>
  <si>
    <t>ADDRESS</t>
  </si>
  <si>
    <t>row number, column number, [absolute/relative reference number], [reference type Boolean], [sheet text]</t>
  </si>
  <si>
    <t>Returns a cell reference. E.g. ADDRESS(2,3) returns "$C$2". The third argument controls the relativity of the reference: 1 for absolute, 2 for absolute row, 3 for absolute column, and 4 for relative. E.g. ADDRESS(2,3,2) returns "C$2"; ADDRESS(2,3,4) returns "C2".The fourth argument can turn on R1C1 referencing in the rare cases where this is required. The fifth argument can be used to specify a sheet name. E.g. ADDRESS(2,3,4, , "Sheet1") returns "Sheetl!C2'.</t>
  </si>
  <si>
    <t>TRANSPOSE</t>
  </si>
  <si>
    <t>Transposes rows to columns and columns to rows. The leftmost column in an array becomes the top row, the top row becomes the leftmost column, and so on. The formula must be entered with an array selected, and as an array formula (by holding down SHIFT and CTRL and pressing RETURN). The number of rows selected must equal the number of columns in the array argument, and columns must equal rows.
The transpose formula is awkward to extend if your array size changes, so a more flexible alternative is to use INDEX.
To transpose an array as a one off, you can use paste special, and select the transpose option.</t>
  </si>
  <si>
    <t>LARGE</t>
  </si>
  <si>
    <t>array, k</t>
  </si>
  <si>
    <t>array</t>
  </si>
  <si>
    <t>Returns the kth largest number in the array. E.g. if A1:A5 contained the numbers 1,9,2,3,6, LARGE(A1:A5,2) returns 6.</t>
  </si>
  <si>
    <t>SMALL</t>
  </si>
  <si>
    <t>Returns the kth smallest number in the array. E.g. if A1:A5 contained the numbers 1,9,2,3,6, SMALL(A1:A5,2) returns 2.
SMALL can be handy if you want to return the smallest non-zero value of a set of positive numbers, e.g. if A1:A5 copntained 0,9,0,3,6, you can use SMALL(A1:A5,COUNTIF(A1,A5,0)+1) to return 3.</t>
  </si>
  <si>
    <t>RANK</t>
  </si>
  <si>
    <t>lookup number, array, [order]</t>
  </si>
  <si>
    <t>Returns the rank of the lookup number with respect to the array. The third argument controls whether the rank is in ascending or descending order: 0 - descending (default), 1- ascending. E.g. if A1:A5 contained the numbers 1,9,2,3,6, RANK(A3,A1:A5,0) or RANK(A3,A1:15) returns 4, and RANK(A3,A1:A5,1) returns 2.
This function can be useful for sorting data without changing the order of the input data.</t>
  </si>
  <si>
    <t>Financial</t>
  </si>
  <si>
    <t>NPV</t>
  </si>
  <si>
    <t>discount rate, values</t>
  </si>
  <si>
    <t>XNPV</t>
  </si>
  <si>
    <t>annual discount rate, values, dates</t>
  </si>
  <si>
    <t>IRR</t>
  </si>
  <si>
    <t>- The discount rate must align to the lengths of the periods modelled, e.g. in the example above we have to use a quarterly discount rate as the data are quarterly</t>
  </si>
  <si>
    <t>values, [guess]</t>
  </si>
  <si>
    <t>XIRR</t>
  </si>
  <si>
    <t>values, dates, [guess]</t>
  </si>
  <si>
    <t>Calculates the internal rate of return of a stream of cash values, i.e. the discount rate at which the NPV (calculated using the NPV formula) would be zero. The dates that the values relate to must be sequential and (approximately) evenly distributed, e.g. monthly, quarterly or annual, and the IRR returned will align to the lengh of the periods modelled - e.g. will be monthly if the data are monthly. 
The data must include at least one positive and one negative value otherwise the #NUM! error will be returned. The guess argument is optional, but occasionally an estimate of the IRR is needed as a starting point since the formula works iteratively.</t>
  </si>
  <si>
    <t>Calculates the internal rate of return of a stream of cash values, i.e. the discount rate at which the NPV (calculated using the XNPV formula, i.e. disregarding leap years) would be zero. The dates must be sequential but do not need to be evenly distributed and the data must include at least one positive and one negative value otherwise the #NUM! error will be returned. The IRR returned will be annual regardless of the gap between dates. The guess argument is optional, but occasionally an estimate of the IRR is needed as a starting point since the formula works iteratively.</t>
  </si>
  <si>
    <t>PMT</t>
  </si>
  <si>
    <t>interest rate, number of periods, debt amount</t>
  </si>
  <si>
    <t>PMT calculates the periodic repayment on a loan at a fixed interest rate, which is the same in every period</t>
  </si>
  <si>
    <t>PPMT calculates the principal portion of the repayment in a specified period</t>
  </si>
  <si>
    <t>IPMT calculates the interest portion of the repayment in a specified period</t>
  </si>
  <si>
    <t>- The total repayment returned by PMT will be the same in all periods and will be the sum of the PPMT and IPMT in each period, but the IPMT will reduce over time and the PPMT increase over time</t>
  </si>
  <si>
    <t>- The interest rate must relate to The period length, e.g. for the example above must be annual since The repayments are annual.</t>
  </si>
  <si>
    <t>PPMT</t>
  </si>
  <si>
    <t>interest rate, period number, number of periods, debt amount</t>
  </si>
  <si>
    <t>IPMT</t>
  </si>
  <si>
    <t>Calculates the periodic repayment on a debt at a fixed interest rate. The periods, corresponding to the repayment frequency, must be of (approximately) even length, e.g. monthly, quarterly or annual, and the interest rate must align to the length of the period. The repayment returned will be the same in each period and will be a negative value. It is the sum of the PPMT and IPMT in each period.</t>
  </si>
  <si>
    <t>Calculates the principal portion of the repayment (per the PMT function) in the specified period. he repayment returned will be a negative number and will increase in absolute terms over time.</t>
  </si>
  <si>
    <t>Calculates the interest portion of the repayment (per the PMT function) in the specified period. The repayment returned will be a negative number and will decrease in absolute terms over time.</t>
  </si>
  <si>
    <t>END</t>
  </si>
  <si>
    <t>Introduction</t>
  </si>
  <si>
    <r>
      <t>To enter a function in the formula bar at the top of the Excel window, type:</t>
    </r>
    <r>
      <rPr>
        <b/>
        <sz val="10"/>
        <rFont val="Arial"/>
        <family val="2"/>
      </rPr>
      <t xml:space="preserve"> </t>
    </r>
    <r>
      <rPr>
        <b/>
        <i/>
        <sz val="10"/>
        <rFont val="Arial"/>
        <family val="2"/>
      </rPr>
      <t>=FUNCTION(argument 1, argument2, ...)</t>
    </r>
  </si>
  <si>
    <t>Make sure that all non-optional arguments are included in the correct place (along with any optional arguments you wish to include), and that any text is in quotation marks</t>
  </si>
  <si>
    <t>(otherwise Excel will think you are referring to a named range).</t>
  </si>
  <si>
    <t>Excel has many, many functions. Clicking on the 'fx' button next to the formula bar brings up a list of all functions. We include a selection of the ones we use frequently here for reference.</t>
  </si>
  <si>
    <t>The formulas shown in red are then demonstrated in subsequent sheets.</t>
  </si>
  <si>
    <t>AND</t>
  </si>
  <si>
    <t>Returns TRUE when all the logical expressions are TRUE, and FALSE otherwise.</t>
  </si>
  <si>
    <r>
      <t xml:space="preserve">Calculates the net present value of a set of cash values at the specified discount rate. The dates that the values relate to must be sequential and (approximately) evenly distributed, e.g. monthly, quarterly or annual, and the discount rate must align to the lengh of the periods modelled - e.g. must be monthly if the data are monthly. The NPV returned is discounted to the period before the first data item, i.e. one period's discounting is applied to the first value. </t>
    </r>
    <r>
      <rPr>
        <b/>
        <sz val="10"/>
        <color rgb="FFC00000"/>
        <rFont val="Arial"/>
        <family val="2"/>
      </rPr>
      <t>It is more transparent and flexible, and not usually much more effort, to calculate NPVs manually rather than using this function.</t>
    </r>
  </si>
  <si>
    <r>
      <t>Calculates the net present value of a set of cash values at the specified discount rate. The dates that the values relate to must be sequential but do not need to be evenly distributed, the values and dates arrays must be the same shape, and the discount rate must be an annual rate. The NPV returned is discounted to the date of the first value. Note that the calculation assumes all years have 365 days, so is not 100% accurate.</t>
    </r>
    <r>
      <rPr>
        <b/>
        <sz val="10"/>
        <color rgb="FFC00000"/>
        <rFont val="Arial"/>
        <family val="2"/>
      </rPr>
      <t xml:space="preserve"> It is more transparent and flexible, and not usually much more effort, to calculate NPVs manually rather than using this function.</t>
    </r>
  </si>
  <si>
    <t>Generally, the shift key is used to select</t>
  </si>
  <si>
    <t>There are some very useful shortcuts you can use to format your data</t>
  </si>
  <si>
    <t>2. Select the column that the new column should be to the left of - so if it will be inserted to the left of the duplicated column then no need to select anything new, so skip this step</t>
  </si>
  <si>
    <t>Styles</t>
  </si>
  <si>
    <t>Hit Alt (don't hold) then hit E, then S</t>
  </si>
  <si>
    <t>Best practice is to use styles to format your data</t>
  </si>
  <si>
    <t>To bring up the styles menu:</t>
  </si>
  <si>
    <t>Number formatting</t>
  </si>
  <si>
    <t>To change a number format, hold down Ctrl and Shift and hit a number key between 1 and 6 depending on the format you want</t>
  </si>
  <si>
    <t>NUMBER</t>
  </si>
  <si>
    <t>With commas and 2 d.p.</t>
  </si>
  <si>
    <t>Time</t>
  </si>
  <si>
    <t>Percent</t>
  </si>
  <si>
    <t>In exponential format</t>
  </si>
  <si>
    <t>Dollars with commas and 2 d.o.</t>
  </si>
  <si>
    <t>Try it with this…</t>
  </si>
  <si>
    <t>To add a decimal place</t>
  </si>
  <si>
    <t>To remove a decimal place</t>
  </si>
  <si>
    <r>
      <t xml:space="preserve">Similar to using </t>
    </r>
    <r>
      <rPr>
        <b/>
        <sz val="10"/>
        <color rgb="FF0070C0"/>
        <rFont val="Arial"/>
        <family val="2"/>
      </rPr>
      <t>F9</t>
    </r>
  </si>
  <si>
    <t>Being able to check and trace your formulas is very important.</t>
  </si>
  <si>
    <t>There are some useful shortcuts and also a whole toolbar of auditing tools</t>
  </si>
  <si>
    <t>F9 in formula bar</t>
  </si>
  <si>
    <t>You can highlight part of a formula and press F9 to show its value. Very handy if you’re not sure why you're getting the result you're getting.</t>
  </si>
  <si>
    <r>
      <rPr>
        <b/>
        <i/>
        <sz val="10"/>
        <color rgb="FFFF0000"/>
        <rFont val="Arial"/>
        <family val="2"/>
      </rPr>
      <t xml:space="preserve">BEWARE! </t>
    </r>
    <r>
      <rPr>
        <b/>
        <i/>
        <sz val="10"/>
        <color theme="1"/>
        <rFont val="Arial"/>
        <family val="2"/>
      </rPr>
      <t>While super useful, this can be dangerous! When you're done F9-ing, hit ESC not ENTER otherwise your formula will be overwritten with the hard-pasted values you've just generated.</t>
    </r>
  </si>
  <si>
    <t>Shortcuts for highlighting/going to precedents and dependents</t>
  </si>
  <si>
    <r>
      <t>Shortcut:</t>
    </r>
    <r>
      <rPr>
        <b/>
        <sz val="10"/>
        <color rgb="FF0070C0"/>
        <rFont val="Arial"/>
        <family val="2"/>
      </rPr>
      <t xml:space="preserve"> Alt M V</t>
    </r>
  </si>
  <si>
    <t>Highlight precedents</t>
  </si>
  <si>
    <t>Ctrl + [</t>
  </si>
  <si>
    <t>Highlight dependents</t>
  </si>
  <si>
    <t>Ctrl + ]</t>
  </si>
  <si>
    <t>Highlight all precedents (incl. precedents of direct precedents)</t>
  </si>
  <si>
    <t>Ctrl + Shift + [</t>
  </si>
  <si>
    <t>Highlight all dependents (incl. dependents of direct dependents)</t>
  </si>
  <si>
    <t>Ctrl + Shift + ]</t>
  </si>
  <si>
    <t>(Only works within sheet)</t>
  </si>
  <si>
    <t xml:space="preserve">It is an Excel add-in which is embedded in the spreadsheet saved here: </t>
  </si>
  <si>
    <t>Z:\SYDNEY\SYDNTAS\_Project Finance Advisory\Service Admin\35. Modelling\07 BPM Traverse</t>
  </si>
  <si>
    <t>Other formatting</t>
  </si>
  <si>
    <t>To clear all content from the active cells, including formatting</t>
  </si>
  <si>
    <t>Hit Alt then H, E, A or Alt then E, A, A</t>
  </si>
  <si>
    <t>Access the formatting dialog box</t>
  </si>
  <si>
    <r>
      <t xml:space="preserve">Select Trace Precedents to navigate to the cells which are referred to by the selected formula (shortcut: </t>
    </r>
    <r>
      <rPr>
        <b/>
        <sz val="10"/>
        <color rgb="FFFF0000"/>
        <rFont val="Arial"/>
        <family val="2"/>
      </rPr>
      <t>Alt M P</t>
    </r>
    <r>
      <rPr>
        <sz val="10"/>
        <color rgb="FFFF0000"/>
        <rFont val="Arial"/>
        <family val="2"/>
      </rPr>
      <t>)</t>
    </r>
  </si>
  <si>
    <r>
      <t xml:space="preserve">Select Trace Dependents to navigate to the cells whose formulae refer to the selected cell (shortcut: </t>
    </r>
    <r>
      <rPr>
        <b/>
        <sz val="10"/>
        <color rgb="FFFF0000"/>
        <rFont val="Arial"/>
        <family val="2"/>
      </rPr>
      <t>Alt M D</t>
    </r>
    <r>
      <rPr>
        <sz val="10"/>
        <color rgb="FFFF0000"/>
        <rFont val="Arial"/>
        <family val="2"/>
      </rPr>
      <t>)</t>
    </r>
  </si>
  <si>
    <t>Put a watch on the total 2018 target sales in the data sheet and change Freddie's target</t>
  </si>
  <si>
    <t>array, row number, column number, [area number]</t>
  </si>
  <si>
    <t>Returns the value of the cell in the array specified by the row number and column number. E.g. INDEX(A1:B4,3,2) returns the value of cell B3.
If the array is one-dimensional, the third argument is redundant, and the second argument specifies either the row or the column. E.g. INDEX(A1:A5,3) returns the value of cell A3; INDEX(A1:E1,3) returns the value of cell C1.
The fourth argument can be used to select which area to pick from if the range specified includes more than one non-adjacent area (but the areas must be on the same sheet).
INDEX is very powerful when a MATCH function is used to determine the row and/or column number.</t>
  </si>
  <si>
    <t>Examples - INDEX with MATCH</t>
  </si>
  <si>
    <t>Choose a colour</t>
  </si>
  <si>
    <t>No. in stock is</t>
  </si>
  <si>
    <t xml:space="preserve">Type 1,2 or 3 for statistic : </t>
  </si>
  <si>
    <t>The Coordinate indicates how far down or across to look when picking the data from the range.</t>
  </si>
  <si>
    <t>The MATCH function can be used in combination to look up the coordinate used in the INDEX.</t>
  </si>
  <si>
    <t>In this example, a shop has items in three colours, and INDEX(MATCH()) is used to look up how many are in stock in the selected colour</t>
  </si>
  <si>
    <t>The MATCH function syntax is explained in the next sheet</t>
  </si>
  <si>
    <t>This is an extended version of the example to the right</t>
  </si>
  <si>
    <t xml:space="preserve">Type the name of the product : </t>
  </si>
  <si>
    <t xml:space="preserve">Type the quarter : </t>
  </si>
  <si>
    <t>Choose East or West :</t>
  </si>
  <si>
    <t>Note it's good practice to use data validation when including selection from a list, to avoid errors from mis-typing</t>
  </si>
  <si>
    <t xml:space="preserve">Choose the country : </t>
  </si>
  <si>
    <t xml:space="preserve">Choose the statistic : </t>
  </si>
  <si>
    <t>=INDEX(NamedRangeToLookIn,RowCoordinate,ColumnCordinate,AreaToPickFrom)</t>
  </si>
  <si>
    <t>Example 6</t>
  </si>
  <si>
    <t>You can often save memory and run time by doing the MATCH only once</t>
  </si>
  <si>
    <t>CPI</t>
  </si>
  <si>
    <t>WPI</t>
  </si>
  <si>
    <t>YoY growth</t>
  </si>
  <si>
    <t>Staff</t>
  </si>
  <si>
    <t>Fuel</t>
  </si>
  <si>
    <t>Maintenance</t>
  </si>
  <si>
    <t>Lease</t>
  </si>
  <si>
    <t>In this example we are applying inflation indices to some unindexed costs to get nominal price costs for a bus operation</t>
  </si>
  <si>
    <t>Other</t>
  </si>
  <si>
    <t>Annual cost</t>
  </si>
  <si>
    <t>Inflation index</t>
  </si>
  <si>
    <t>None</t>
  </si>
  <si>
    <t>Nominal costs - repeating the MATCH</t>
  </si>
  <si>
    <t>Inflation match</t>
  </si>
  <si>
    <t>Nominal costs - separating the INDEX and MATCH - more efficient!</t>
  </si>
  <si>
    <t>Inflation indices</t>
  </si>
  <si>
    <t>worth at least</t>
  </si>
  <si>
    <t>Total value in</t>
  </si>
  <si>
    <t>branch</t>
  </si>
  <si>
    <t>Branch</t>
  </si>
  <si>
    <t>Conditional SUMPRODUCT - Further examples</t>
  </si>
  <si>
    <t>This can be turned into an average by putting a SUMIF or SUMIFS (or COUNTIF/COUNTIFS) in the denominator</t>
  </si>
  <si>
    <t>Formula auditing</t>
  </si>
  <si>
    <r>
      <t xml:space="preserve"> =INDEX(</t>
    </r>
    <r>
      <rPr>
        <sz val="10"/>
        <color indexed="20"/>
        <rFont val="Arial"/>
        <family val="2"/>
      </rPr>
      <t>EastAndWest</t>
    </r>
    <r>
      <rPr>
        <sz val="10"/>
        <rFont val="Arial"/>
        <family val="2"/>
      </rPr>
      <t>,</t>
    </r>
    <r>
      <rPr>
        <sz val="10"/>
        <color indexed="17"/>
        <rFont val="Arial"/>
        <family val="2"/>
      </rPr>
      <t>MATCH(O76,L67:L69,0)</t>
    </r>
    <r>
      <rPr>
        <sz val="10"/>
        <rFont val="Arial"/>
        <family val="2"/>
      </rPr>
      <t>,</t>
    </r>
    <r>
      <rPr>
        <sz val="10"/>
        <color indexed="10"/>
        <rFont val="Arial"/>
        <family val="2"/>
      </rPr>
      <t>MATCH(O77,M66:P66,0)</t>
    </r>
    <r>
      <rPr>
        <sz val="10"/>
        <rFont val="Arial"/>
        <family val="2"/>
      </rPr>
      <t>,</t>
    </r>
    <r>
      <rPr>
        <sz val="10"/>
        <color indexed="14"/>
        <rFont val="Arial"/>
        <family val="2"/>
      </rPr>
      <t>MATCH(O78,Q78:R78,0)</t>
    </r>
    <r>
      <rPr>
        <sz val="10"/>
        <rFont val="Arial"/>
        <family val="2"/>
      </rPr>
      <t>)</t>
    </r>
  </si>
  <si>
    <t>Capital</t>
  </si>
  <si>
    <t>Construction start</t>
  </si>
  <si>
    <t>Construction end</t>
  </si>
  <si>
    <t>Construction flag</t>
  </si>
  <si>
    <t>Operations flag</t>
  </si>
  <si>
    <t>Quarter ending month</t>
  </si>
  <si>
    <t>Heavy maintenance</t>
  </si>
  <si>
    <t>Light maintenance</t>
  </si>
  <si>
    <t>Example - aggregation</t>
  </si>
  <si>
    <t>Drivers</t>
  </si>
  <si>
    <t>Conductors</t>
  </si>
  <si>
    <t>Station staff</t>
  </si>
  <si>
    <t>HQ staff</t>
  </si>
  <si>
    <t>Track access</t>
  </si>
  <si>
    <t>Station access</t>
  </si>
  <si>
    <t>Advertising</t>
  </si>
  <si>
    <t>but we only want Staff, Maintenance, Fuel and Other cost lines in our financial model</t>
  </si>
  <si>
    <t>Make sure you use a check to make sure all data are captured and data validation for the mapping to cost categories</t>
  </si>
  <si>
    <t>Cost type</t>
  </si>
  <si>
    <t>Year 1</t>
  </si>
  <si>
    <t>Year 2</t>
  </si>
  <si>
    <t>Year 3</t>
  </si>
  <si>
    <t>Cleaning</t>
  </si>
  <si>
    <t>Category</t>
  </si>
  <si>
    <t>Cost category</t>
  </si>
  <si>
    <t>Check totals</t>
  </si>
  <si>
    <t>Quarter</t>
  </si>
  <si>
    <t>SUMPRODUCT for two-dimensional aggregation</t>
  </si>
  <si>
    <t>The syntax for this is:</t>
  </si>
  <si>
    <t>SUMPRODUCT can also be used to aggregate across both rows and columns - like a 2D SUMIF(S)</t>
  </si>
  <si>
    <t>=SUMPRODUCT(RangeOfDataToAggregate*(LookupRange1=LookupValue1)*(LookupRange2=LookupValue2))</t>
  </si>
  <si>
    <t>Note the asterisk (multiplication) rather than commas</t>
  </si>
  <si>
    <t>Additional lookups/aggregations can be included with further * terms as needed</t>
  </si>
  <si>
    <t>This is demonstrated in the example below where some quarterly cost data is aggregated to annual and cost categories</t>
  </si>
  <si>
    <r>
      <t xml:space="preserve">If you cut and paste a cell, all references to the original cell update to the later one, </t>
    </r>
    <r>
      <rPr>
        <b/>
        <sz val="7.2"/>
        <color theme="1"/>
        <rFont val="Arial"/>
        <family val="2"/>
      </rPr>
      <t>and if there were any references to the original cell then they will return #REF! errors</t>
    </r>
    <r>
      <rPr>
        <b/>
        <sz val="9"/>
        <color theme="1"/>
        <rFont val="Arial"/>
        <family val="2"/>
      </rPr>
      <t xml:space="preserve">. </t>
    </r>
    <r>
      <rPr>
        <b/>
        <sz val="9"/>
        <color rgb="FFFF0000"/>
        <rFont val="Arial"/>
        <family val="2"/>
      </rPr>
      <t>So use with care!</t>
    </r>
  </si>
  <si>
    <t>Over large arrays, INDEX and MATCH in combination can be quite data-hungry and slow your model down, because each use of INDEX or MATCH requires looking through the whole list of data and the same MATCH is done lots of times</t>
  </si>
  <si>
    <t xml:space="preserve">A common use of SUMIF(S) is to aggregate data - for example if we are given the below disaggregated train operating costs from a cost advisor </t>
  </si>
  <si>
    <t>Trap the specific error you are anticipating (see IFNA sheet)</t>
  </si>
  <si>
    <t>=IFNA(FormulaToTest,ValueIfNAError)</t>
  </si>
  <si>
    <t>Returns a specified value if FormulaToTest would return a #N/A error, otherwise returns the result of FormulaToTest</t>
  </si>
  <si>
    <t>=IFNA(MATCH(WhatToLookFor,WhereToLook,0)),ValueIfNotMatched)</t>
  </si>
  <si>
    <t>Returns a specified value if WhatToLookFor is not matched in the WhereToLook range</t>
  </si>
  <si>
    <t>A very common source of a #N/A error is when MATCH is used to look a value up in a list and no match is found - in this case, IFNA can be used to trap the error.</t>
  </si>
  <si>
    <t>This function tests whether a #N/A error is returned by a formula and if so then recalls a specified value or text</t>
  </si>
  <si>
    <t>=INDEX(RangeToLookIn,RowCoordinate,ColumnCordinate)</t>
  </si>
  <si>
    <r>
      <t xml:space="preserve">The </t>
    </r>
    <r>
      <rPr>
        <b/>
        <sz val="10"/>
        <color indexed="10"/>
        <rFont val="Arial"/>
        <family val="2"/>
      </rPr>
      <t>Wrong Value</t>
    </r>
    <r>
      <rPr>
        <sz val="10"/>
        <rFont val="Arial"/>
        <family val="2"/>
      </rPr>
      <t xml:space="preserve"> list cannot find an exact match, so the #N/A is shown.</t>
    </r>
  </si>
  <si>
    <r>
      <t xml:space="preserve">The </t>
    </r>
    <r>
      <rPr>
        <b/>
        <sz val="10"/>
        <color indexed="10"/>
        <rFont val="Arial"/>
        <family val="2"/>
      </rPr>
      <t>Descending</t>
    </r>
    <r>
      <rPr>
        <sz val="10"/>
        <rFont val="Arial"/>
        <family val="2"/>
      </rPr>
      <t xml:space="preserve"> list gives the #N/A error.</t>
    </r>
  </si>
  <si>
    <r>
      <t xml:space="preserve">The </t>
    </r>
    <r>
      <rPr>
        <b/>
        <sz val="10"/>
        <color indexed="10"/>
        <rFont val="Arial"/>
        <family val="2"/>
      </rPr>
      <t>Ascending</t>
    </r>
    <r>
      <rPr>
        <sz val="10"/>
        <rFont val="Arial"/>
        <family val="2"/>
      </rPr>
      <t xml:space="preserve"> list gives the #N/A error.</t>
    </r>
  </si>
  <si>
    <t>SUMIF can be very useful as an alternative to INDEX and MATCH where the value returned is numerical</t>
  </si>
  <si>
    <t>This only works if the value you want to return is numerical and there are no duplicates in the list</t>
  </si>
  <si>
    <t>(e.g. if Barbara had been listed twice as age 14, her age would be returned as 28!)</t>
  </si>
  <si>
    <t>Press Tab to cycle between them, and F5 then Enter to return to the original formula</t>
  </si>
  <si>
    <t>Contact Sarah Berman if you can't access this and would like it</t>
  </si>
  <si>
    <t>Don't forget the match type, or it will all go wrong!</t>
  </si>
  <si>
    <t>YEARFRAC</t>
  </si>
  <si>
    <t>start date, end date, [basis]</t>
  </si>
  <si>
    <t>DAYS</t>
  </si>
  <si>
    <t>end date, start date</t>
  </si>
  <si>
    <t>NETWORKDAYS</t>
  </si>
  <si>
    <t>start date, end date, [array of holidays]</t>
  </si>
  <si>
    <t>Returns the number of working days between two dates, including both the start and end date. Saturdays and Sundays are excluded, as are any dates in the optional array of holiday dates included as the third term.</t>
  </si>
  <si>
    <t>Returns the number of days between two dates. If end date is before start date, returns a positive number. Note: the same result is achieved by using a simple subtraction (end date - start date).</t>
  </si>
  <si>
    <t>Correct but less flexible - if a row is added between the 200 and the 300, the value won't be included in the calculation</t>
  </si>
  <si>
    <t>Date three months ago</t>
  </si>
  <si>
    <t>Date at the end of last month</t>
  </si>
  <si>
    <t>Dates and times can be subtracted from each other to give the number of days between them (you can also use DAYS, but there's no need for it)</t>
  </si>
  <si>
    <t>Years between now and</t>
  </si>
  <si>
    <t>Returns the number of years (including fractions of years) between the two dates. Always returns a positive figure regardless of which way around the dates are entered. The optional "basis" determines how days are calculated when calculating fractions of years. The default (basis 0) is to assume all years have 360 days and months have 30 days. To use actual days in the month and year, use basis 1.</t>
  </si>
  <si>
    <t xml:space="preserve">Returns the number of years (including fractions of years) between the two dates. </t>
  </si>
  <si>
    <t>=YEARFRAC(StartDate,EndDate,Basis)</t>
  </si>
  <si>
    <t>Note: Using 1 as the basis reflects the number of months in each day and year, whereas using 0 assumes all months have equal lengths. Other options are also available.</t>
  </si>
  <si>
    <t>Indexation base date</t>
  </si>
  <si>
    <t>Years from indexation base date</t>
  </si>
  <si>
    <t>IFNA</t>
  </si>
  <si>
    <t>For XIRR:</t>
  </si>
  <si>
    <t>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</si>
</sst>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0_);[Red]\(&quot;$&quot;#,##0\)"/>
    <numFmt numFmtId="41" formatCode="_(* #,##0_);_(* \(#,##0\);_(* &quot;-&quot;_);_(@_)"/>
    <numFmt numFmtId="44" formatCode="_(&quot;$&quot;* #,##0.00_);_(&quot;$&quot;* \(#,##0.00\);_(&quot;$&quot;* &quot;-&quot;??_);_(@_)"/>
    <numFmt numFmtId="43" formatCode="_(* #,##0.00_);_(* \(#,##0.00\);_(* &quot;-&quot;??_);_(@_)"/>
    <numFmt numFmtId="164" formatCode="_(* #,##0_);_(* \(#,##0\);_(* &quot;-&quot;_);@_)"/>
    <numFmt numFmtId="165" formatCode="0%_);\(0%\)"/>
    <numFmt numFmtId="166" formatCode="[$-C09]dd\-mmm\-yy;@"/>
    <numFmt numFmtId="167" formatCode="_-[$€]\ * #,##0.00_-;\-[$€]\ * #,##0.00_-;_-[$€]\ * &quot;-&quot;??_-;_-@_-"/>
    <numFmt numFmtId="168" formatCode="#,##0.0\ ;\(#,##0.0\)"/>
    <numFmt numFmtId="169" formatCode="#,##0.00\ ;\(#,##0.00\)"/>
    <numFmt numFmtId="170" formatCode="#,##0\ ;\(#,##0\);&quot;- &quot;"/>
    <numFmt numFmtId="171" formatCode="#,##0\ ;\(#,##0\);&quot;-  &quot;"/>
    <numFmt numFmtId="172" formatCode="&quot;\&quot;#,##0.00;[Red]&quot;\&quot;\-#,##0.00"/>
    <numFmt numFmtId="173" formatCode="#,##0.0%\ ;\(#,##0.0%\);&quot;- &quot;"/>
    <numFmt numFmtId="174" formatCode="#,##0%\ ;\(#,##0.0%\);&quot;- &quot;"/>
    <numFmt numFmtId="175" formatCode="[$$-C09]#,##0"/>
    <numFmt numFmtId="176" formatCode="#,##0_.;[Red]\-#,##0_.;_-* &quot;-&quot;?_-"/>
    <numFmt numFmtId="177" formatCode="0.0"/>
    <numFmt numFmtId="178" formatCode="_(&quot;$&quot;* #,##0_);_(&quot;$&quot;* \(#,##0\);_(&quot;$&quot;* &quot;-&quot;??_);_(@_)"/>
    <numFmt numFmtId="179" formatCode="&quot;$&quot;#,##0"/>
    <numFmt numFmtId="180" formatCode="d/mm/yyyy\ hh:mm"/>
    <numFmt numFmtId="181" formatCode="_(#,##0_);_(\(#,##0\);\-_)"/>
    <numFmt numFmtId="182" formatCode="_(#,##0.000_);_(\(#,##0.000\);\-_)"/>
    <numFmt numFmtId="183" formatCode="_-* #,##0.000_-;\-* #,##0.000_-;_-* &quot;-&quot;??_-;_-@_-"/>
    <numFmt numFmtId="184" formatCode="0.0%"/>
    <numFmt numFmtId="185" formatCode="#,##0.0"/>
    <numFmt numFmtId="186" formatCode="#,##0.000"/>
    <numFmt numFmtId="187" formatCode="dd\-mmm\-yy"/>
    <numFmt numFmtId="188" formatCode="[Red]&quot;E: &quot;#,##0;[Red]&quot;E: &quot;\-#,##0;[Blue]&quot;OK&quot;"/>
    <numFmt numFmtId="189" formatCode="_(#,##0.0_);_(\(#,##0.0\);\-_)"/>
    <numFmt numFmtId="190" formatCode="_(#,##0.0_);_(\(#,##0.0\);\-_);@_)"/>
    <numFmt numFmtId="191" formatCode="0."/>
    <numFmt numFmtId="192" formatCode="_(#,##0.00_);_(\(#,##0.00\);\-_)"/>
    <numFmt numFmtId="193" formatCode="&quot;$&quot;#,##0.00;[Red]\(&quot;$&quot;#,##0.00\)"/>
    <numFmt numFmtId="194" formatCode="&quot;$&quot;#,##0.00;[Red]&quot;$&quot;#,##0.00"/>
    <numFmt numFmtId="195" formatCode="&quot;$&quot;#,##0;[Red]\(&quot;$&quot;#,##0\)"/>
    <numFmt numFmtId="196" formatCode="0.0000%"/>
    <numFmt numFmtId="197" formatCode="#,##0.0000"/>
    <numFmt numFmtId="198" formatCode="0.0000"/>
  </numFmts>
  <fonts count="119">
    <font>
      <sz val="10"/>
      <name val="Arial"/>
    </font>
    <font>
      <sz val="11"/>
      <color theme="1"/>
      <name val="Arial"/>
      <family val="2"/>
    </font>
    <font>
      <sz val="11"/>
      <color theme="1"/>
      <name val="Calibri"/>
      <family val="2"/>
      <scheme val="minor"/>
    </font>
    <font>
      <sz val="10"/>
      <name val="Arial"/>
      <family val="2"/>
    </font>
    <font>
      <b/>
      <sz val="14"/>
      <color indexed="8"/>
      <name val="Arial"/>
      <family val="2"/>
    </font>
    <font>
      <b/>
      <sz val="10"/>
      <color indexed="12"/>
      <name val="Arial"/>
      <family val="2"/>
    </font>
    <font>
      <i/>
      <sz val="10"/>
      <name val="Arial"/>
      <family val="2"/>
    </font>
    <font>
      <sz val="10"/>
      <color indexed="20"/>
      <name val="Arial"/>
      <family val="2"/>
    </font>
    <font>
      <sz val="10"/>
      <color indexed="12"/>
      <name val="Arial"/>
      <family val="2"/>
    </font>
    <font>
      <b/>
      <sz val="10"/>
      <name val="Arial"/>
      <family val="2"/>
    </font>
    <font>
      <sz val="10"/>
      <color indexed="17"/>
      <name val="Arial"/>
      <family val="2"/>
    </font>
    <font>
      <b/>
      <sz val="12"/>
      <color indexed="17"/>
      <name val="Arial"/>
      <family val="2"/>
    </font>
    <font>
      <b/>
      <sz val="12"/>
      <color indexed="12"/>
      <name val="Arial"/>
      <family val="2"/>
    </font>
    <font>
      <b/>
      <sz val="10"/>
      <color indexed="8"/>
      <name val="Arial"/>
      <family val="2"/>
    </font>
    <font>
      <sz val="10"/>
      <color indexed="8"/>
      <name val="Arial"/>
      <family val="2"/>
    </font>
    <font>
      <b/>
      <sz val="10"/>
      <name val="Arial"/>
      <family val="2"/>
    </font>
    <font>
      <sz val="8"/>
      <name val="Arial"/>
      <family val="2"/>
    </font>
    <font>
      <sz val="10"/>
      <name val="Arial"/>
      <family val="2"/>
    </font>
    <font>
      <b/>
      <sz val="10"/>
      <color indexed="14"/>
      <name val="Arial"/>
      <family val="2"/>
    </font>
    <font>
      <b/>
      <sz val="10"/>
      <color indexed="10"/>
      <name val="Arial"/>
      <family val="2"/>
    </font>
    <font>
      <b/>
      <sz val="10"/>
      <color indexed="17"/>
      <name val="Arial"/>
      <family val="2"/>
    </font>
    <font>
      <i/>
      <sz val="10"/>
      <color indexed="10"/>
      <name val="Arial"/>
      <family val="2"/>
    </font>
    <font>
      <b/>
      <sz val="11"/>
      <color theme="3"/>
      <name val="Calibri"/>
      <family val="2"/>
      <scheme val="minor"/>
    </font>
    <font>
      <sz val="9"/>
      <color theme="1"/>
      <name val="Calibri"/>
      <family val="2"/>
      <scheme val="minor"/>
    </font>
    <font>
      <b/>
      <sz val="9"/>
      <color theme="1"/>
      <name val="Calibri"/>
      <family val="2"/>
      <scheme val="minor"/>
    </font>
    <font>
      <u/>
      <sz val="9"/>
      <color theme="10"/>
      <name val="Calibri"/>
      <family val="2"/>
      <scheme val="minor"/>
    </font>
    <font>
      <b/>
      <sz val="9"/>
      <color theme="3"/>
      <name val="Calibri"/>
      <family val="2"/>
      <scheme val="minor"/>
    </font>
    <font>
      <sz val="8"/>
      <color theme="1"/>
      <name val="Calibri"/>
      <family val="2"/>
      <scheme val="minor"/>
    </font>
    <font>
      <b/>
      <sz val="9"/>
      <color theme="0"/>
      <name val="Calibri"/>
      <family val="2"/>
      <scheme val="minor"/>
    </font>
    <font>
      <b/>
      <sz val="10"/>
      <color theme="0"/>
      <name val="Arial"/>
      <family val="2"/>
    </font>
    <font>
      <b/>
      <sz val="9"/>
      <color theme="4"/>
      <name val="Calibri"/>
      <family val="2"/>
      <scheme val="minor"/>
    </font>
    <font>
      <sz val="9"/>
      <color theme="1"/>
      <name val="Arial"/>
      <family val="2"/>
    </font>
    <font>
      <b/>
      <sz val="9"/>
      <color rgb="FF002060"/>
      <name val="Arial"/>
      <family val="2"/>
    </font>
    <font>
      <sz val="9"/>
      <color rgb="FF9C0006"/>
      <name val="Arial"/>
      <family val="2"/>
    </font>
    <font>
      <b/>
      <sz val="8"/>
      <name val="Letter Gothic 12"/>
    </font>
    <font>
      <sz val="10"/>
      <color theme="1"/>
      <name val="Arial"/>
      <family val="2"/>
    </font>
    <font>
      <sz val="11"/>
      <color indexed="8"/>
      <name val="ＭＳ Ｐゴシック"/>
      <family val="3"/>
      <charset val="128"/>
    </font>
    <font>
      <sz val="10"/>
      <color theme="0"/>
      <name val="Arial"/>
      <family val="2"/>
    </font>
    <font>
      <sz val="8"/>
      <color theme="0"/>
      <name val="Calibri"/>
      <family val="2"/>
      <scheme val="minor"/>
    </font>
    <font>
      <sz val="10"/>
      <color rgb="FF9C0006"/>
      <name val="Arial"/>
      <family val="2"/>
    </font>
    <font>
      <sz val="8"/>
      <color rgb="FF9C0006"/>
      <name val="Calibri"/>
      <family val="2"/>
      <scheme val="minor"/>
    </font>
    <font>
      <b/>
      <sz val="10"/>
      <color rgb="FFFA7D00"/>
      <name val="Arial"/>
      <family val="2"/>
    </font>
    <font>
      <b/>
      <sz val="8"/>
      <color rgb="FFFA7D00"/>
      <name val="Calibri"/>
      <family val="2"/>
      <scheme val="minor"/>
    </font>
    <font>
      <b/>
      <sz val="8"/>
      <color theme="0"/>
      <name val="Calibri"/>
      <family val="2"/>
      <scheme val="minor"/>
    </font>
    <font>
      <sz val="11"/>
      <name val="ＭＳ Ｐゴシック"/>
      <family val="3"/>
      <charset val="128"/>
    </font>
    <font>
      <sz val="11"/>
      <color theme="1"/>
      <name val="Calibri"/>
      <family val="2"/>
      <charset val="128"/>
      <scheme val="minor"/>
    </font>
    <font>
      <sz val="11"/>
      <color rgb="FF000000"/>
      <name val="Calibri"/>
      <family val="2"/>
    </font>
    <font>
      <sz val="11"/>
      <color theme="1"/>
      <name val="Arial"/>
      <family val="2"/>
    </font>
    <font>
      <sz val="10"/>
      <name val="Times New Roman"/>
      <family val="1"/>
    </font>
    <font>
      <sz val="10"/>
      <name val="MS Sans Serif"/>
      <family val="2"/>
    </font>
    <font>
      <i/>
      <sz val="10"/>
      <color rgb="FF7F7F7F"/>
      <name val="Arial"/>
      <family val="2"/>
    </font>
    <font>
      <i/>
      <sz val="8"/>
      <color rgb="FF7F7F7F"/>
      <name val="Calibri"/>
      <family val="2"/>
      <scheme val="minor"/>
    </font>
    <font>
      <sz val="10"/>
      <color rgb="FF006100"/>
      <name val="Arial"/>
      <family val="2"/>
    </font>
    <font>
      <sz val="8"/>
      <color rgb="FF006100"/>
      <name val="Calibri"/>
      <family val="2"/>
      <scheme val="minor"/>
    </font>
    <font>
      <b/>
      <sz val="12"/>
      <name val="Arial"/>
      <family val="2"/>
    </font>
    <font>
      <b/>
      <sz val="15"/>
      <color theme="3"/>
      <name val="Arial"/>
      <family val="2"/>
    </font>
    <font>
      <b/>
      <sz val="13"/>
      <color theme="3"/>
      <name val="Arial"/>
      <family val="2"/>
    </font>
    <font>
      <b/>
      <sz val="11"/>
      <color theme="3"/>
      <name val="Arial"/>
      <family val="2"/>
    </font>
    <font>
      <u/>
      <sz val="10"/>
      <color indexed="12"/>
      <name val="Arial"/>
      <family val="2"/>
    </font>
    <font>
      <sz val="10"/>
      <color rgb="FF3F3F76"/>
      <name val="Arial"/>
      <family val="2"/>
    </font>
    <font>
      <sz val="8"/>
      <color rgb="FF3F3F76"/>
      <name val="Calibri"/>
      <family val="2"/>
      <scheme val="minor"/>
    </font>
    <font>
      <sz val="10"/>
      <color rgb="FFFA7D00"/>
      <name val="Arial"/>
      <family val="2"/>
    </font>
    <font>
      <sz val="8"/>
      <color rgb="FFFA7D00"/>
      <name val="Calibri"/>
      <family val="2"/>
      <scheme val="minor"/>
    </font>
    <font>
      <sz val="10"/>
      <color rgb="FF9C6500"/>
      <name val="Arial"/>
      <family val="2"/>
    </font>
    <font>
      <sz val="8"/>
      <color rgb="FF9C6500"/>
      <name val="Calibri"/>
      <family val="2"/>
      <scheme val="minor"/>
    </font>
    <font>
      <sz val="11"/>
      <color indexed="8"/>
      <name val="Calibri"/>
      <family val="2"/>
      <scheme val="minor"/>
    </font>
    <font>
      <sz val="10"/>
      <name val="Verdana"/>
      <family val="2"/>
    </font>
    <font>
      <sz val="10"/>
      <color theme="1"/>
      <name val="Tahoma"/>
      <family val="2"/>
    </font>
    <font>
      <b/>
      <sz val="10"/>
      <color rgb="FF3F3F3F"/>
      <name val="Arial"/>
      <family val="2"/>
    </font>
    <font>
      <b/>
      <sz val="8"/>
      <color rgb="FF3F3F3F"/>
      <name val="Calibri"/>
      <family val="2"/>
      <scheme val="minor"/>
    </font>
    <font>
      <b/>
      <i/>
      <sz val="12"/>
      <color indexed="8"/>
      <name val="Arial"/>
      <family val="2"/>
    </font>
    <font>
      <sz val="12"/>
      <color indexed="8"/>
      <name val="Arial"/>
      <family val="2"/>
    </font>
    <font>
      <b/>
      <sz val="12"/>
      <color indexed="8"/>
      <name val="Arial"/>
      <family val="2"/>
    </font>
    <font>
      <i/>
      <sz val="12"/>
      <color indexed="8"/>
      <name val="Arial"/>
      <family val="2"/>
    </font>
    <font>
      <b/>
      <sz val="10"/>
      <color indexed="9"/>
      <name val="Arial"/>
      <family val="2"/>
    </font>
    <font>
      <sz val="19"/>
      <color indexed="48"/>
      <name val="Arial"/>
      <family val="2"/>
    </font>
    <font>
      <sz val="12"/>
      <color indexed="14"/>
      <name val="Arial"/>
      <family val="2"/>
    </font>
    <font>
      <b/>
      <sz val="10"/>
      <color theme="1"/>
      <name val="Arial"/>
      <family val="2"/>
    </font>
    <font>
      <b/>
      <sz val="8"/>
      <color theme="1"/>
      <name val="Calibri"/>
      <family val="2"/>
      <scheme val="minor"/>
    </font>
    <font>
      <sz val="10"/>
      <color rgb="FFFF0000"/>
      <name val="Arial"/>
      <family val="2"/>
    </font>
    <font>
      <sz val="8"/>
      <color rgb="FFFF0000"/>
      <name val="Calibri"/>
      <family val="2"/>
      <scheme val="minor"/>
    </font>
    <font>
      <sz val="11"/>
      <color theme="1"/>
      <name val="Calibri"/>
      <family val="3"/>
      <charset val="128"/>
      <scheme val="minor"/>
    </font>
    <font>
      <sz val="8"/>
      <color rgb="FF333333"/>
      <name val="Arial"/>
      <family val="2"/>
    </font>
    <font>
      <sz val="10"/>
      <name val="Arial"/>
      <family val="2"/>
    </font>
    <font>
      <sz val="10"/>
      <color rgb="FF0000FF"/>
      <name val="Arial"/>
      <family val="2"/>
    </font>
    <font>
      <sz val="12"/>
      <name val="Times New Roman"/>
      <family val="1"/>
    </font>
    <font>
      <sz val="10"/>
      <color rgb="FF000000"/>
      <name val="Arial"/>
      <family val="2"/>
    </font>
    <font>
      <sz val="10"/>
      <color rgb="FF3366FF"/>
      <name val="Calibri"/>
      <family val="2"/>
    </font>
    <font>
      <sz val="11"/>
      <name val="Arial"/>
      <family val="2"/>
    </font>
    <font>
      <b/>
      <sz val="10"/>
      <color rgb="FF000000"/>
      <name val="Arial"/>
      <family val="2"/>
    </font>
    <font>
      <sz val="10"/>
      <color rgb="FF00B050"/>
      <name val="Arial"/>
      <family val="2"/>
    </font>
    <font>
      <sz val="10"/>
      <color rgb="FF0070C0"/>
      <name val="Arial"/>
      <family val="2"/>
    </font>
    <font>
      <sz val="10"/>
      <color rgb="FF7030A0"/>
      <name val="Arial"/>
      <family val="2"/>
    </font>
    <font>
      <i/>
      <sz val="10"/>
      <color theme="1"/>
      <name val="Arial"/>
      <family val="2"/>
    </font>
    <font>
      <sz val="10"/>
      <color theme="9"/>
      <name val="Arial"/>
      <family val="2"/>
    </font>
    <font>
      <b/>
      <sz val="10"/>
      <color rgb="FFFF0000"/>
      <name val="Arial"/>
      <family val="2"/>
    </font>
    <font>
      <b/>
      <sz val="10"/>
      <color rgb="FFFFFF00"/>
      <name val="Arial"/>
      <family val="2"/>
    </font>
    <font>
      <sz val="10"/>
      <color rgb="FFFFFF00"/>
      <name val="Arial"/>
      <family val="2"/>
    </font>
    <font>
      <b/>
      <i/>
      <sz val="10"/>
      <name val="Arial"/>
      <family val="2"/>
    </font>
    <font>
      <sz val="10"/>
      <color rgb="FFC00000"/>
      <name val="Arial"/>
      <family val="2"/>
    </font>
    <font>
      <b/>
      <sz val="10"/>
      <color rgb="FFC00000"/>
      <name val="Arial"/>
      <family val="2"/>
    </font>
    <font>
      <b/>
      <sz val="9"/>
      <color theme="1"/>
      <name val="Arial"/>
      <family val="2"/>
    </font>
    <font>
      <i/>
      <sz val="9"/>
      <color theme="1"/>
      <name val="Arial"/>
      <family val="2"/>
    </font>
    <font>
      <b/>
      <i/>
      <sz val="9"/>
      <color rgb="FF0070C0"/>
      <name val="Arial"/>
      <family val="2"/>
    </font>
    <font>
      <b/>
      <sz val="9"/>
      <color theme="7"/>
      <name val="Arial"/>
      <family val="2"/>
    </font>
    <font>
      <b/>
      <sz val="7.2"/>
      <color theme="1"/>
      <name val="Arial"/>
      <family val="2"/>
    </font>
    <font>
      <b/>
      <sz val="9"/>
      <color rgb="FFFF0000"/>
      <name val="Arial"/>
      <family val="2"/>
    </font>
    <font>
      <sz val="18"/>
      <color theme="1"/>
      <name val="Algerian"/>
      <family val="5"/>
    </font>
    <font>
      <b/>
      <sz val="9"/>
      <color rgb="FF00B050"/>
      <name val="Arial"/>
      <family val="2"/>
    </font>
    <font>
      <u/>
      <sz val="9"/>
      <color theme="10"/>
      <name val="Arial"/>
      <family val="2"/>
    </font>
    <font>
      <b/>
      <sz val="10"/>
      <color rgb="FF0070C0"/>
      <name val="Arial"/>
      <family val="2"/>
    </font>
    <font>
      <b/>
      <i/>
      <sz val="10"/>
      <color theme="1"/>
      <name val="Arial"/>
      <family val="2"/>
    </font>
    <font>
      <b/>
      <i/>
      <sz val="10"/>
      <color rgb="FFFF0000"/>
      <name val="Arial"/>
      <family val="2"/>
    </font>
    <font>
      <u/>
      <sz val="10"/>
      <color theme="10"/>
      <name val="Arial"/>
      <family val="2"/>
    </font>
    <font>
      <sz val="10"/>
      <color rgb="FFFF00FF"/>
      <name val="Arial"/>
      <family val="2"/>
    </font>
    <font>
      <sz val="10"/>
      <color indexed="10"/>
      <name val="Arial"/>
      <family val="2"/>
    </font>
    <font>
      <sz val="10"/>
      <color indexed="14"/>
      <name val="Arial"/>
      <family val="2"/>
    </font>
    <font>
      <b/>
      <sz val="10"/>
      <color indexed="20"/>
      <name val="Arial"/>
      <family val="2"/>
    </font>
    <font>
      <b/>
      <sz val="10"/>
      <color rgb="FF0000FF"/>
      <name val="Arial"/>
      <family val="2"/>
    </font>
  </fonts>
  <fills count="75">
    <fill>
      <patternFill patternType="none"/>
    </fill>
    <fill>
      <patternFill patternType="gray125"/>
    </fill>
    <fill>
      <patternFill patternType="solid">
        <fgColor indexed="26"/>
      </patternFill>
    </fill>
    <fill>
      <patternFill patternType="solid">
        <fgColor indexed="22"/>
      </patternFill>
    </fill>
    <fill>
      <patternFill patternType="solid">
        <fgColor indexed="43"/>
        <bgColor indexed="64"/>
      </patternFill>
    </fill>
    <fill>
      <patternFill patternType="solid">
        <fgColor theme="4" tint="0.39997558519241921"/>
        <bgColor indexed="64"/>
      </patternFill>
    </fill>
    <fill>
      <patternFill patternType="solid">
        <fgColor rgb="FFFF0066"/>
        <bgColor indexed="64"/>
      </patternFill>
    </fill>
    <fill>
      <patternFill patternType="solid">
        <fgColor rgb="FFFCD4B6"/>
        <bgColor indexed="64"/>
      </patternFill>
    </fill>
    <fill>
      <patternFill patternType="solid">
        <fgColor rgb="FFE8E6D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indexed="44"/>
        <bgColor indexed="64"/>
      </patternFill>
    </fill>
    <fill>
      <patternFill patternType="solid">
        <fgColor rgb="FFCCECFF"/>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gray0625">
        <fgColor indexed="11"/>
        <bgColor indexed="15"/>
      </patternFill>
    </fill>
    <fill>
      <patternFill patternType="solid">
        <fgColor indexed="22"/>
        <bgColor indexed="64"/>
      </patternFill>
    </fill>
    <fill>
      <patternFill patternType="solid">
        <fgColor theme="9" tint="0.79998168889431442"/>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8"/>
      </patternFill>
    </fill>
    <fill>
      <patternFill patternType="solid">
        <fgColor indexed="4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1"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theme="1" tint="0.34998626667073579"/>
        <bgColor indexed="15"/>
      </patternFill>
    </fill>
    <fill>
      <patternFill patternType="solid">
        <fgColor theme="0" tint="-0.499984740745262"/>
        <bgColor indexed="64"/>
      </patternFill>
    </fill>
  </fills>
  <borders count="69">
    <border>
      <left/>
      <right/>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medium">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20"/>
      </left>
      <right style="thin">
        <color indexed="64"/>
      </right>
      <top style="medium">
        <color indexed="20"/>
      </top>
      <bottom style="thin">
        <color indexed="64"/>
      </bottom>
      <diagonal/>
    </border>
    <border>
      <left style="thin">
        <color indexed="64"/>
      </left>
      <right style="thin">
        <color indexed="64"/>
      </right>
      <top style="medium">
        <color indexed="20"/>
      </top>
      <bottom style="thin">
        <color indexed="64"/>
      </bottom>
      <diagonal/>
    </border>
    <border>
      <left style="thin">
        <color indexed="64"/>
      </left>
      <right style="medium">
        <color indexed="20"/>
      </right>
      <top style="medium">
        <color indexed="20"/>
      </top>
      <bottom style="thin">
        <color indexed="64"/>
      </bottom>
      <diagonal/>
    </border>
    <border>
      <left style="medium">
        <color indexed="20"/>
      </left>
      <right style="thin">
        <color indexed="64"/>
      </right>
      <top style="thin">
        <color indexed="64"/>
      </top>
      <bottom style="thin">
        <color indexed="64"/>
      </bottom>
      <diagonal/>
    </border>
    <border>
      <left style="thin">
        <color indexed="64"/>
      </left>
      <right style="medium">
        <color indexed="20"/>
      </right>
      <top style="thin">
        <color indexed="64"/>
      </top>
      <bottom style="thin">
        <color indexed="64"/>
      </bottom>
      <diagonal/>
    </border>
    <border>
      <left style="medium">
        <color indexed="20"/>
      </left>
      <right style="thin">
        <color indexed="64"/>
      </right>
      <top style="thin">
        <color indexed="64"/>
      </top>
      <bottom style="medium">
        <color indexed="20"/>
      </bottom>
      <diagonal/>
    </border>
    <border>
      <left style="thin">
        <color indexed="64"/>
      </left>
      <right style="thin">
        <color indexed="64"/>
      </right>
      <top style="thin">
        <color indexed="64"/>
      </top>
      <bottom style="medium">
        <color indexed="20"/>
      </bottom>
      <diagonal/>
    </border>
    <border>
      <left style="thin">
        <color indexed="64"/>
      </left>
      <right style="medium">
        <color indexed="20"/>
      </right>
      <top style="thin">
        <color indexed="64"/>
      </top>
      <bottom style="medium">
        <color indexed="20"/>
      </bottom>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bottom/>
      <diagonal/>
    </border>
    <border>
      <left style="thick">
        <color indexed="10"/>
      </left>
      <right style="thick">
        <color indexed="10"/>
      </right>
      <top style="thin">
        <color indexed="64"/>
      </top>
      <bottom style="thick">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style="double">
        <color indexed="64"/>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9"/>
      </left>
      <right style="thin">
        <color indexed="64"/>
      </right>
      <top style="thin">
        <color indexed="64"/>
      </top>
      <bottom style="thin">
        <color indexed="64"/>
      </bottom>
      <diagonal/>
    </border>
    <border>
      <left/>
      <right/>
      <top style="medium">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
      <left/>
      <right/>
      <top/>
      <bottom style="thick">
        <color theme="0" tint="-0.34998626667073579"/>
      </bottom>
      <diagonal/>
    </border>
    <border>
      <left/>
      <right/>
      <top/>
      <bottom style="medium">
        <color rgb="FFFF0000"/>
      </bottom>
      <diagonal/>
    </border>
    <border>
      <left/>
      <right/>
      <top/>
      <bottom style="medium">
        <color rgb="FF0070C0"/>
      </bottom>
      <diagonal/>
    </border>
    <border>
      <left/>
      <right/>
      <top/>
      <bottom style="medium">
        <color rgb="FF7030A0"/>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ashed">
        <color theme="0" tint="-0.499984740745262"/>
      </top>
      <bottom style="dashed">
        <color theme="0" tint="-0.499984740745262"/>
      </bottom>
      <diagonal/>
    </border>
    <border>
      <left/>
      <right/>
      <top style="dashed">
        <color theme="0" tint="-0.499984740745262"/>
      </top>
      <bottom/>
      <diagonal/>
    </border>
    <border>
      <left/>
      <right/>
      <top/>
      <bottom style="dashed">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s>
  <cellStyleXfs count="1165">
    <xf numFmtId="0" fontId="0" fillId="0" borderId="0"/>
    <xf numFmtId="0" fontId="3" fillId="2" borderId="0" applyNumberFormat="0" applyFont="0" applyBorder="0" applyAlignment="0" applyProtection="0"/>
    <xf numFmtId="0" fontId="3" fillId="3" borderId="0" applyNumberFormat="0" applyFont="0" applyBorder="0" applyAlignment="0" applyProtection="0"/>
    <xf numFmtId="0" fontId="22" fillId="0" borderId="0" applyAlignment="0" applyProtection="0"/>
    <xf numFmtId="164" fontId="23" fillId="0" borderId="0"/>
    <xf numFmtId="164" fontId="25" fillId="0" borderId="0" applyNumberFormat="0" applyFill="0" applyBorder="0" applyAlignment="0" applyProtection="0"/>
    <xf numFmtId="43" fontId="23" fillId="0" borderId="0" applyFont="0" applyFill="0" applyBorder="0" applyAlignment="0" applyProtection="0"/>
    <xf numFmtId="0" fontId="26" fillId="0" borderId="0" applyFill="0" applyProtection="0">
      <alignment wrapText="1"/>
    </xf>
    <xf numFmtId="164" fontId="26" fillId="0" borderId="0" applyNumberFormat="0" applyFill="0" applyBorder="0" applyAlignment="0" applyProtection="0"/>
    <xf numFmtId="164" fontId="23" fillId="7" borderId="0" applyNumberFormat="0" applyFont="0" applyBorder="0" applyAlignment="0" applyProtection="0"/>
    <xf numFmtId="0" fontId="23" fillId="0" borderId="0" applyFill="0" applyBorder="0" applyProtection="0"/>
    <xf numFmtId="164" fontId="23" fillId="8" borderId="0" applyNumberFormat="0" applyFont="0" applyBorder="0" applyAlignment="0" applyProtection="0"/>
    <xf numFmtId="165" fontId="23" fillId="0" borderId="0" applyFill="0" applyBorder="0" applyAlignment="0" applyProtection="0"/>
    <xf numFmtId="0" fontId="27" fillId="0" borderId="0" applyNumberFormat="0" applyAlignment="0" applyProtection="0"/>
    <xf numFmtId="0" fontId="26" fillId="0" borderId="32" applyFill="0" applyProtection="0">
      <alignment horizontal="right" wrapText="1"/>
    </xf>
    <xf numFmtId="164" fontId="24" fillId="0" borderId="33" applyNumberFormat="0" applyFill="0" applyAlignment="0" applyProtection="0"/>
    <xf numFmtId="0" fontId="24" fillId="0" borderId="34" applyNumberFormat="0" applyFill="0" applyAlignment="0" applyProtection="0"/>
    <xf numFmtId="166" fontId="22" fillId="0" borderId="0" applyAlignment="0" applyProtection="0"/>
    <xf numFmtId="43" fontId="23" fillId="0" borderId="0" applyFont="0" applyFill="0" applyBorder="0" applyAlignment="0" applyProtection="0"/>
    <xf numFmtId="166" fontId="28" fillId="14" borderId="41" applyNumberFormat="0" applyAlignment="0" applyProtection="0"/>
    <xf numFmtId="166" fontId="26" fillId="0" borderId="32" applyFill="0" applyProtection="0">
      <alignment horizontal="right" wrapText="1"/>
    </xf>
    <xf numFmtId="165" fontId="23" fillId="0" borderId="0" applyFont="0" applyFill="0" applyBorder="0" applyAlignment="0" applyProtection="0"/>
    <xf numFmtId="166" fontId="24" fillId="0" borderId="34" applyNumberFormat="0" applyFill="0" applyAlignment="0" applyProtection="0"/>
    <xf numFmtId="166" fontId="27" fillId="0" borderId="0" applyNumberFormat="0" applyAlignment="0" applyProtection="0"/>
    <xf numFmtId="166" fontId="22" fillId="0" borderId="0" applyAlignment="0" applyProtection="0"/>
    <xf numFmtId="167" fontId="22" fillId="0" borderId="0" applyAlignment="0" applyProtection="0"/>
    <xf numFmtId="167" fontId="27" fillId="0" borderId="0" applyNumberFormat="0" applyAlignment="0" applyProtection="0"/>
    <xf numFmtId="167" fontId="26" fillId="0" borderId="32" applyFill="0" applyProtection="0">
      <alignment horizontal="right" wrapText="1"/>
    </xf>
    <xf numFmtId="167" fontId="29" fillId="14" borderId="41" applyNumberFormat="0" applyAlignment="0" applyProtection="0"/>
    <xf numFmtId="167" fontId="24" fillId="0" borderId="34" applyNumberFormat="0" applyFill="0" applyAlignment="0" applyProtection="0"/>
    <xf numFmtId="17" fontId="30" fillId="0" borderId="32"/>
    <xf numFmtId="167" fontId="28" fillId="14" borderId="41" applyNumberFormat="0" applyAlignment="0" applyProtection="0"/>
    <xf numFmtId="0" fontId="22" fillId="0" borderId="0" applyAlignment="0" applyProtection="0"/>
    <xf numFmtId="9" fontId="17" fillId="0" borderId="0" applyFont="0" applyFill="0" applyBorder="0" applyAlignment="0" applyProtection="0"/>
    <xf numFmtId="0" fontId="28" fillId="14" borderId="41" applyNumberFormat="0" applyAlignment="0" applyProtection="0"/>
    <xf numFmtId="0" fontId="26" fillId="0" borderId="32" applyFill="0" applyProtection="0">
      <alignment horizontal="right" wrapText="1"/>
    </xf>
    <xf numFmtId="164" fontId="23" fillId="40" borderId="0" applyNumberFormat="0" applyFont="0" applyBorder="0" applyAlignment="0" applyProtection="0"/>
    <xf numFmtId="9" fontId="2" fillId="0" borderId="0" applyFont="0" applyFill="0" applyBorder="0" applyAlignment="0" applyProtection="0"/>
    <xf numFmtId="166" fontId="32" fillId="42" borderId="0" applyNumberFormat="0"/>
    <xf numFmtId="166" fontId="33" fillId="10" borderId="0" applyNumberFormat="0" applyBorder="0" applyAlignment="0" applyProtection="0"/>
    <xf numFmtId="43" fontId="2" fillId="0" borderId="0" applyFont="0" applyFill="0" applyBorder="0" applyAlignment="0" applyProtection="0"/>
    <xf numFmtId="166" fontId="26" fillId="0" borderId="0" applyFill="0" applyProtection="0">
      <alignment wrapText="1"/>
    </xf>
    <xf numFmtId="168" fontId="9" fillId="0" borderId="0"/>
    <xf numFmtId="169" fontId="34" fillId="0" borderId="0"/>
    <xf numFmtId="167" fontId="35" fillId="17" borderId="0" applyNumberFormat="0" applyBorder="0" applyAlignment="0" applyProtection="0"/>
    <xf numFmtId="166" fontId="2" fillId="17" borderId="0" applyNumberFormat="0" applyBorder="0" applyAlignment="0" applyProtection="0">
      <protection locked="0"/>
    </xf>
    <xf numFmtId="167" fontId="35" fillId="17" borderId="0" applyNumberFormat="0" applyBorder="0" applyAlignment="0" applyProtection="0"/>
    <xf numFmtId="166" fontId="2" fillId="17" borderId="0" applyNumberFormat="0" applyBorder="0" applyAlignment="0" applyProtection="0"/>
    <xf numFmtId="167" fontId="35" fillId="17" borderId="0" applyNumberFormat="0" applyBorder="0" applyAlignment="0" applyProtection="0"/>
    <xf numFmtId="167" fontId="27" fillId="17" borderId="0" applyNumberFormat="0" applyBorder="0" applyAlignment="0" applyProtection="0"/>
    <xf numFmtId="167" fontId="35" fillId="21" borderId="0" applyNumberFormat="0" applyBorder="0" applyAlignment="0" applyProtection="0"/>
    <xf numFmtId="167" fontId="35" fillId="21" borderId="0" applyNumberFormat="0" applyBorder="0" applyAlignment="0" applyProtection="0"/>
    <xf numFmtId="167" fontId="35" fillId="21" borderId="0" applyNumberFormat="0" applyBorder="0" applyAlignment="0" applyProtection="0"/>
    <xf numFmtId="167" fontId="27" fillId="21" borderId="0" applyNumberFormat="0" applyBorder="0" applyAlignment="0" applyProtection="0"/>
    <xf numFmtId="167" fontId="35" fillId="25" borderId="0" applyNumberFormat="0" applyBorder="0" applyAlignment="0" applyProtection="0"/>
    <xf numFmtId="167" fontId="35" fillId="25" borderId="0" applyNumberFormat="0" applyBorder="0" applyAlignment="0" applyProtection="0"/>
    <xf numFmtId="167" fontId="35" fillId="25" borderId="0" applyNumberFormat="0" applyBorder="0" applyAlignment="0" applyProtection="0"/>
    <xf numFmtId="167" fontId="27" fillId="25" borderId="0" applyNumberFormat="0" applyBorder="0" applyAlignment="0" applyProtection="0"/>
    <xf numFmtId="167" fontId="35" fillId="29" borderId="0" applyNumberFormat="0" applyBorder="0" applyAlignment="0" applyProtection="0"/>
    <xf numFmtId="167" fontId="35" fillId="29" borderId="0" applyNumberFormat="0" applyBorder="0" applyAlignment="0" applyProtection="0"/>
    <xf numFmtId="167" fontId="35" fillId="29" borderId="0" applyNumberFormat="0" applyBorder="0" applyAlignment="0" applyProtection="0"/>
    <xf numFmtId="167" fontId="27" fillId="29" borderId="0" applyNumberFormat="0" applyBorder="0" applyAlignment="0" applyProtection="0"/>
    <xf numFmtId="167" fontId="35" fillId="33" borderId="0" applyNumberFormat="0" applyBorder="0" applyAlignment="0" applyProtection="0"/>
    <xf numFmtId="167" fontId="35" fillId="33" borderId="0" applyNumberFormat="0" applyBorder="0" applyAlignment="0" applyProtection="0"/>
    <xf numFmtId="167" fontId="35" fillId="33" borderId="0" applyNumberFormat="0" applyBorder="0" applyAlignment="0" applyProtection="0"/>
    <xf numFmtId="167" fontId="27" fillId="33" borderId="0" applyNumberFormat="0" applyBorder="0" applyAlignment="0" applyProtection="0"/>
    <xf numFmtId="167" fontId="35" fillId="37" borderId="0" applyNumberFormat="0" applyBorder="0" applyAlignment="0" applyProtection="0"/>
    <xf numFmtId="167" fontId="35" fillId="37" borderId="0" applyNumberFormat="0" applyBorder="0" applyAlignment="0" applyProtection="0"/>
    <xf numFmtId="167" fontId="35" fillId="37" borderId="0" applyNumberFormat="0" applyBorder="0" applyAlignment="0" applyProtection="0"/>
    <xf numFmtId="167" fontId="27" fillId="37" borderId="0" applyNumberFormat="0" applyBorder="0" applyAlignment="0" applyProtection="0"/>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4"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5"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6"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7"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8"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6" fillId="49" borderId="0" applyNumberFormat="0" applyBorder="0" applyAlignment="0" applyProtection="0">
      <alignment vertical="center"/>
    </xf>
    <xf numFmtId="167" fontId="35" fillId="18" borderId="0" applyNumberFormat="0" applyBorder="0" applyAlignment="0" applyProtection="0"/>
    <xf numFmtId="166" fontId="2" fillId="18" borderId="0" applyNumberFormat="0" applyBorder="0" applyAlignment="0" applyProtection="0"/>
    <xf numFmtId="167" fontId="35" fillId="18" borderId="0" applyNumberFormat="0" applyBorder="0" applyAlignment="0" applyProtection="0"/>
    <xf numFmtId="167" fontId="35" fillId="18" borderId="0" applyNumberFormat="0" applyBorder="0" applyAlignment="0" applyProtection="0"/>
    <xf numFmtId="167" fontId="27" fillId="18" borderId="0" applyNumberFormat="0" applyBorder="0" applyAlignment="0" applyProtection="0"/>
    <xf numFmtId="167" fontId="35" fillId="22" borderId="0" applyNumberFormat="0" applyBorder="0" applyAlignment="0" applyProtection="0"/>
    <xf numFmtId="167" fontId="35" fillId="22" borderId="0" applyNumberFormat="0" applyBorder="0" applyAlignment="0" applyProtection="0"/>
    <xf numFmtId="167" fontId="35" fillId="22" borderId="0" applyNumberFormat="0" applyBorder="0" applyAlignment="0" applyProtection="0"/>
    <xf numFmtId="167" fontId="27" fillId="22" borderId="0" applyNumberFormat="0" applyBorder="0" applyAlignment="0" applyProtection="0"/>
    <xf numFmtId="167" fontId="35" fillId="26" borderId="0" applyNumberFormat="0" applyBorder="0" applyAlignment="0" applyProtection="0"/>
    <xf numFmtId="167" fontId="35" fillId="26" borderId="0" applyNumberFormat="0" applyBorder="0" applyAlignment="0" applyProtection="0"/>
    <xf numFmtId="167" fontId="35" fillId="26" borderId="0" applyNumberFormat="0" applyBorder="0" applyAlignment="0" applyProtection="0"/>
    <xf numFmtId="167" fontId="27" fillId="26" borderId="0" applyNumberFormat="0" applyBorder="0" applyAlignment="0" applyProtection="0"/>
    <xf numFmtId="167" fontId="35" fillId="30" borderId="0" applyNumberFormat="0" applyBorder="0" applyAlignment="0" applyProtection="0"/>
    <xf numFmtId="167" fontId="35" fillId="30" borderId="0" applyNumberFormat="0" applyBorder="0" applyAlignment="0" applyProtection="0"/>
    <xf numFmtId="167" fontId="35" fillId="30" borderId="0" applyNumberFormat="0" applyBorder="0" applyAlignment="0" applyProtection="0"/>
    <xf numFmtId="167" fontId="27" fillId="30" borderId="0" applyNumberFormat="0" applyBorder="0" applyAlignment="0" applyProtection="0"/>
    <xf numFmtId="167" fontId="35" fillId="34" borderId="0" applyNumberFormat="0" applyBorder="0" applyAlignment="0" applyProtection="0"/>
    <xf numFmtId="167" fontId="35" fillId="34" borderId="0" applyNumberFormat="0" applyBorder="0" applyAlignment="0" applyProtection="0"/>
    <xf numFmtId="167" fontId="35" fillId="34" borderId="0" applyNumberFormat="0" applyBorder="0" applyAlignment="0" applyProtection="0"/>
    <xf numFmtId="167" fontId="27" fillId="34" borderId="0" applyNumberFormat="0" applyBorder="0" applyAlignment="0" applyProtection="0"/>
    <xf numFmtId="167" fontId="35" fillId="38" borderId="0" applyNumberFormat="0" applyBorder="0" applyAlignment="0" applyProtection="0"/>
    <xf numFmtId="167" fontId="35" fillId="38" borderId="0" applyNumberFormat="0" applyBorder="0" applyAlignment="0" applyProtection="0"/>
    <xf numFmtId="167" fontId="35" fillId="38" borderId="0" applyNumberFormat="0" applyBorder="0" applyAlignment="0" applyProtection="0"/>
    <xf numFmtId="167" fontId="27" fillId="38" borderId="0" applyNumberFormat="0" applyBorder="0" applyAlignment="0" applyProtection="0"/>
    <xf numFmtId="167" fontId="37" fillId="19" borderId="0" applyNumberFormat="0" applyBorder="0" applyAlignment="0" applyProtection="0"/>
    <xf numFmtId="167" fontId="37" fillId="19" borderId="0" applyNumberFormat="0" applyBorder="0" applyAlignment="0" applyProtection="0"/>
    <xf numFmtId="167" fontId="37" fillId="19" borderId="0" applyNumberFormat="0" applyBorder="0" applyAlignment="0" applyProtection="0"/>
    <xf numFmtId="167" fontId="38" fillId="19" borderId="0" applyNumberFormat="0" applyBorder="0" applyAlignment="0" applyProtection="0"/>
    <xf numFmtId="167" fontId="37" fillId="23" borderId="0" applyNumberFormat="0" applyBorder="0" applyAlignment="0" applyProtection="0"/>
    <xf numFmtId="167" fontId="37" fillId="23" borderId="0" applyNumberFormat="0" applyBorder="0" applyAlignment="0" applyProtection="0"/>
    <xf numFmtId="167" fontId="37" fillId="23" borderId="0" applyNumberFormat="0" applyBorder="0" applyAlignment="0" applyProtection="0"/>
    <xf numFmtId="167" fontId="38" fillId="23" borderId="0" applyNumberFormat="0" applyBorder="0" applyAlignment="0" applyProtection="0"/>
    <xf numFmtId="167" fontId="37" fillId="27" borderId="0" applyNumberFormat="0" applyBorder="0" applyAlignment="0" applyProtection="0"/>
    <xf numFmtId="167" fontId="37" fillId="27" borderId="0" applyNumberFormat="0" applyBorder="0" applyAlignment="0" applyProtection="0"/>
    <xf numFmtId="167" fontId="37" fillId="27" borderId="0" applyNumberFormat="0" applyBorder="0" applyAlignment="0" applyProtection="0"/>
    <xf numFmtId="167" fontId="38" fillId="27" borderId="0" applyNumberFormat="0" applyBorder="0" applyAlignment="0" applyProtection="0"/>
    <xf numFmtId="167" fontId="37" fillId="31" borderId="0" applyNumberFormat="0" applyBorder="0" applyAlignment="0" applyProtection="0"/>
    <xf numFmtId="167" fontId="37" fillId="31" borderId="0" applyNumberFormat="0" applyBorder="0" applyAlignment="0" applyProtection="0"/>
    <xf numFmtId="167" fontId="37" fillId="31" borderId="0" applyNumberFormat="0" applyBorder="0" applyAlignment="0" applyProtection="0"/>
    <xf numFmtId="167" fontId="38" fillId="31" borderId="0" applyNumberFormat="0" applyBorder="0" applyAlignment="0" applyProtection="0"/>
    <xf numFmtId="167" fontId="37" fillId="35" borderId="0" applyNumberFormat="0" applyBorder="0" applyAlignment="0" applyProtection="0"/>
    <xf numFmtId="167" fontId="37" fillId="35" borderId="0" applyNumberFormat="0" applyBorder="0" applyAlignment="0" applyProtection="0"/>
    <xf numFmtId="167" fontId="37" fillId="35" borderId="0" applyNumberFormat="0" applyBorder="0" applyAlignment="0" applyProtection="0"/>
    <xf numFmtId="167" fontId="38" fillId="35"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7" fontId="38" fillId="39" borderId="0" applyNumberFormat="0" applyBorder="0" applyAlignment="0" applyProtection="0"/>
    <xf numFmtId="167" fontId="37" fillId="16" borderId="0" applyNumberFormat="0" applyBorder="0" applyAlignment="0" applyProtection="0"/>
    <xf numFmtId="167" fontId="37" fillId="16" borderId="0" applyNumberFormat="0" applyBorder="0" applyAlignment="0" applyProtection="0"/>
    <xf numFmtId="167" fontId="37" fillId="16" borderId="0" applyNumberFormat="0" applyBorder="0" applyAlignment="0" applyProtection="0"/>
    <xf numFmtId="167" fontId="38" fillId="16" borderId="0" applyNumberFormat="0" applyBorder="0" applyAlignment="0" applyProtection="0"/>
    <xf numFmtId="167" fontId="37" fillId="20" borderId="0" applyNumberFormat="0" applyBorder="0" applyAlignment="0" applyProtection="0"/>
    <xf numFmtId="167" fontId="37" fillId="20" borderId="0" applyNumberFormat="0" applyBorder="0" applyAlignment="0" applyProtection="0"/>
    <xf numFmtId="167" fontId="37" fillId="20" borderId="0" applyNumberFormat="0" applyBorder="0" applyAlignment="0" applyProtection="0"/>
    <xf numFmtId="167" fontId="38" fillId="20" borderId="0" applyNumberFormat="0" applyBorder="0" applyAlignment="0" applyProtection="0"/>
    <xf numFmtId="167" fontId="37" fillId="24" borderId="0" applyNumberFormat="0" applyBorder="0" applyAlignment="0" applyProtection="0"/>
    <xf numFmtId="167" fontId="37" fillId="24" borderId="0" applyNumberFormat="0" applyBorder="0" applyAlignment="0" applyProtection="0"/>
    <xf numFmtId="167" fontId="37" fillId="24" borderId="0" applyNumberFormat="0" applyBorder="0" applyAlignment="0" applyProtection="0"/>
    <xf numFmtId="167" fontId="38" fillId="24" borderId="0" applyNumberFormat="0" applyBorder="0" applyAlignment="0" applyProtection="0"/>
    <xf numFmtId="167" fontId="37" fillId="28" borderId="0" applyNumberFormat="0" applyBorder="0" applyAlignment="0" applyProtection="0"/>
    <xf numFmtId="167" fontId="37" fillId="28" borderId="0" applyNumberFormat="0" applyBorder="0" applyAlignment="0" applyProtection="0"/>
    <xf numFmtId="167" fontId="37" fillId="28" borderId="0" applyNumberFormat="0" applyBorder="0" applyAlignment="0" applyProtection="0"/>
    <xf numFmtId="167" fontId="38" fillId="28" borderId="0" applyNumberFormat="0" applyBorder="0" applyAlignment="0" applyProtection="0"/>
    <xf numFmtId="167" fontId="37" fillId="32" borderId="0" applyNumberFormat="0" applyBorder="0" applyAlignment="0" applyProtection="0"/>
    <xf numFmtId="167" fontId="37" fillId="32" borderId="0" applyNumberFormat="0" applyBorder="0" applyAlignment="0" applyProtection="0"/>
    <xf numFmtId="167" fontId="37" fillId="32" borderId="0" applyNumberFormat="0" applyBorder="0" applyAlignment="0" applyProtection="0"/>
    <xf numFmtId="167" fontId="38" fillId="32" borderId="0" applyNumberFormat="0" applyBorder="0" applyAlignment="0" applyProtection="0"/>
    <xf numFmtId="167" fontId="37" fillId="36" borderId="0" applyNumberFormat="0" applyBorder="0" applyAlignment="0" applyProtection="0"/>
    <xf numFmtId="167" fontId="37" fillId="36" borderId="0" applyNumberFormat="0" applyBorder="0" applyAlignment="0" applyProtection="0"/>
    <xf numFmtId="167" fontId="37" fillId="36" borderId="0" applyNumberFormat="0" applyBorder="0" applyAlignment="0" applyProtection="0"/>
    <xf numFmtId="167" fontId="38" fillId="36" borderId="0" applyNumberFormat="0" applyBorder="0" applyAlignment="0" applyProtection="0"/>
    <xf numFmtId="167" fontId="39" fillId="10" borderId="0" applyNumberFormat="0" applyBorder="0" applyAlignment="0" applyProtection="0"/>
    <xf numFmtId="167" fontId="39" fillId="10" borderId="0" applyNumberFormat="0" applyBorder="0" applyAlignment="0" applyProtection="0"/>
    <xf numFmtId="167" fontId="39" fillId="10" borderId="0" applyNumberFormat="0" applyBorder="0" applyAlignment="0" applyProtection="0"/>
    <xf numFmtId="167" fontId="40" fillId="10" borderId="0" applyNumberFormat="0" applyBorder="0" applyAlignment="0" applyProtection="0"/>
    <xf numFmtId="167" fontId="41" fillId="13" borderId="38" applyNumberFormat="0" applyAlignment="0" applyProtection="0"/>
    <xf numFmtId="167" fontId="41" fillId="13" borderId="38" applyNumberFormat="0" applyAlignment="0" applyProtection="0"/>
    <xf numFmtId="167" fontId="41" fillId="13" borderId="38" applyNumberFormat="0" applyAlignment="0" applyProtection="0"/>
    <xf numFmtId="167" fontId="42" fillId="13" borderId="38" applyNumberFormat="0" applyAlignment="0" applyProtection="0"/>
    <xf numFmtId="167" fontId="29" fillId="14" borderId="41" applyNumberFormat="0" applyAlignment="0" applyProtection="0"/>
    <xf numFmtId="167" fontId="29" fillId="14" borderId="41" applyNumberFormat="0" applyAlignment="0" applyProtection="0"/>
    <xf numFmtId="167" fontId="43" fillId="14" borderId="41" applyNumberFormat="0" applyAlignment="0" applyProtection="0"/>
    <xf numFmtId="38" fontId="44" fillId="0" borderId="0" applyFont="0" applyFill="0" applyBorder="0" applyAlignment="0" applyProtection="0">
      <alignment vertical="center"/>
    </xf>
    <xf numFmtId="41" fontId="17" fillId="0" borderId="0" applyFont="0" applyFill="0" applyBorder="0" applyAlignment="0" applyProtection="0"/>
    <xf numFmtId="38" fontId="45" fillId="0" borderId="0" applyFont="0" applyFill="0" applyBorder="0" applyAlignment="0" applyProtection="0">
      <alignment vertical="center"/>
    </xf>
    <xf numFmtId="170"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43" fontId="31"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17" fillId="0" borderId="0" applyFont="0" applyFill="0" applyBorder="0" applyAlignment="0" applyProtection="0"/>
    <xf numFmtId="43" fontId="14" fillId="0" borderId="0" applyFont="0" applyFill="0" applyBorder="0" applyAlignment="0" applyProtection="0">
      <alignment vertical="top"/>
    </xf>
    <xf numFmtId="170" fontId="1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172" fontId="4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31" fillId="0" borderId="0" applyFont="0" applyFill="0" applyBorder="0" applyAlignment="0" applyProtection="0"/>
    <xf numFmtId="14" fontId="48" fillId="50" borderId="2"/>
    <xf numFmtId="38" fontId="49" fillId="0" borderId="44">
      <alignment vertical="center"/>
    </xf>
    <xf numFmtId="167" fontId="17" fillId="0" borderId="0" applyFont="0" applyFill="0" applyBorder="0" applyAlignment="0" applyProtection="0"/>
    <xf numFmtId="167" fontId="50" fillId="0" borderId="0" applyNumberFormat="0" applyFill="0" applyBorder="0" applyAlignment="0" applyProtection="0"/>
    <xf numFmtId="167" fontId="50" fillId="0" borderId="0" applyNumberFormat="0" applyFill="0" applyBorder="0" applyAlignment="0" applyProtection="0"/>
    <xf numFmtId="167" fontId="50" fillId="0" borderId="0" applyNumberFormat="0" applyFill="0" applyBorder="0" applyAlignment="0" applyProtection="0"/>
    <xf numFmtId="167" fontId="51" fillId="0" borderId="0" applyNumberFormat="0" applyFill="0" applyBorder="0" applyAlignment="0" applyProtection="0"/>
    <xf numFmtId="167" fontId="52" fillId="9" borderId="0" applyNumberFormat="0" applyBorder="0" applyAlignment="0" applyProtection="0"/>
    <xf numFmtId="167" fontId="52" fillId="9" borderId="0" applyNumberFormat="0" applyBorder="0" applyAlignment="0" applyProtection="0"/>
    <xf numFmtId="167" fontId="52" fillId="9" borderId="0" applyNumberFormat="0" applyBorder="0" applyAlignment="0" applyProtection="0"/>
    <xf numFmtId="167" fontId="53" fillId="9" borderId="0" applyNumberFormat="0" applyBorder="0" applyAlignment="0" applyProtection="0"/>
    <xf numFmtId="38" fontId="16" fillId="51" borderId="0" applyNumberFormat="0" applyBorder="0" applyAlignment="0" applyProtection="0"/>
    <xf numFmtId="167" fontId="54" fillId="0" borderId="45" applyNumberFormat="0" applyAlignment="0" applyProtection="0">
      <alignment horizontal="left" vertical="center"/>
    </xf>
    <xf numFmtId="167" fontId="54" fillId="0" borderId="6">
      <alignment horizontal="left" vertical="center"/>
    </xf>
    <xf numFmtId="167" fontId="55" fillId="0" borderId="35" applyNumberFormat="0" applyFill="0" applyAlignment="0" applyProtection="0"/>
    <xf numFmtId="167" fontId="55" fillId="0" borderId="35" applyNumberFormat="0" applyFill="0" applyAlignment="0" applyProtection="0"/>
    <xf numFmtId="167" fontId="55" fillId="0" borderId="35" applyNumberFormat="0" applyFill="0" applyAlignment="0" applyProtection="0"/>
    <xf numFmtId="167" fontId="56" fillId="0" borderId="36" applyNumberFormat="0" applyFill="0" applyAlignment="0" applyProtection="0"/>
    <xf numFmtId="167" fontId="56" fillId="0" borderId="36" applyNumberFormat="0" applyFill="0" applyAlignment="0" applyProtection="0"/>
    <xf numFmtId="167" fontId="56" fillId="0" borderId="36" applyNumberFormat="0" applyFill="0" applyAlignment="0" applyProtection="0"/>
    <xf numFmtId="167" fontId="57" fillId="0" borderId="37" applyNumberFormat="0" applyFill="0" applyAlignment="0" applyProtection="0"/>
    <xf numFmtId="167" fontId="57" fillId="0" borderId="37" applyNumberFormat="0" applyFill="0" applyAlignment="0" applyProtection="0"/>
    <xf numFmtId="167" fontId="57" fillId="0" borderId="37" applyNumberFormat="0" applyFill="0" applyAlignment="0" applyProtection="0"/>
    <xf numFmtId="167" fontId="57" fillId="0" borderId="0" applyNumberFormat="0" applyFill="0" applyBorder="0" applyAlignment="0" applyProtection="0"/>
    <xf numFmtId="167" fontId="57" fillId="0" borderId="0" applyNumberFormat="0" applyFill="0" applyBorder="0" applyAlignment="0" applyProtection="0"/>
    <xf numFmtId="167" fontId="57" fillId="0" borderId="0" applyNumberFormat="0" applyFill="0" applyBorder="0" applyAlignment="0" applyProtection="0"/>
    <xf numFmtId="167" fontId="58" fillId="0" borderId="0" applyNumberFormat="0" applyFill="0" applyBorder="0" applyAlignment="0" applyProtection="0">
      <alignment vertical="top"/>
      <protection locked="0"/>
    </xf>
    <xf numFmtId="167" fontId="17" fillId="52" borderId="38" applyNumberFormat="0" applyAlignment="0" applyProtection="0"/>
    <xf numFmtId="167" fontId="59" fillId="12" borderId="38" applyNumberFormat="0" applyAlignment="0" applyProtection="0"/>
    <xf numFmtId="167" fontId="59" fillId="12" borderId="38" applyNumberFormat="0" applyAlignment="0" applyProtection="0"/>
    <xf numFmtId="167" fontId="60" fillId="12" borderId="38" applyNumberFormat="0" applyAlignment="0" applyProtection="0"/>
    <xf numFmtId="167" fontId="61" fillId="0" borderId="40" applyNumberFormat="0" applyFill="0" applyAlignment="0" applyProtection="0"/>
    <xf numFmtId="167" fontId="61" fillId="0" borderId="40" applyNumberFormat="0" applyFill="0" applyAlignment="0" applyProtection="0"/>
    <xf numFmtId="167" fontId="61" fillId="0" borderId="40" applyNumberFormat="0" applyFill="0" applyAlignment="0" applyProtection="0"/>
    <xf numFmtId="167" fontId="62" fillId="0" borderId="40" applyNumberFormat="0" applyFill="0" applyAlignment="0" applyProtection="0"/>
    <xf numFmtId="167" fontId="63" fillId="11" borderId="0" applyNumberFormat="0" applyBorder="0" applyAlignment="0" applyProtection="0"/>
    <xf numFmtId="167" fontId="63" fillId="11" borderId="0" applyNumberFormat="0" applyBorder="0" applyAlignment="0" applyProtection="0"/>
    <xf numFmtId="167" fontId="63" fillId="11" borderId="0" applyNumberFormat="0" applyBorder="0" applyAlignment="0" applyProtection="0"/>
    <xf numFmtId="167" fontId="64" fillId="11" borderId="0" applyNumberFormat="0" applyBorder="0" applyAlignment="0" applyProtection="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65" fillId="0" borderId="0"/>
    <xf numFmtId="166" fontId="14" fillId="0" borderId="0">
      <alignment vertical="top"/>
    </xf>
    <xf numFmtId="166" fontId="14" fillId="0" borderId="0">
      <alignment vertical="top"/>
    </xf>
    <xf numFmtId="167" fontId="66" fillId="0" borderId="0"/>
    <xf numFmtId="167" fontId="66" fillId="0" borderId="0"/>
    <xf numFmtId="167" fontId="66" fillId="0" borderId="0"/>
    <xf numFmtId="166" fontId="17" fillId="0" borderId="0"/>
    <xf numFmtId="167" fontId="66" fillId="0" borderId="0"/>
    <xf numFmtId="167" fontId="66" fillId="0" borderId="0"/>
    <xf numFmtId="167" fontId="17" fillId="0" borderId="0"/>
    <xf numFmtId="167" fontId="17" fillId="0" borderId="0"/>
    <xf numFmtId="167" fontId="2" fillId="0" borderId="0"/>
    <xf numFmtId="167" fontId="2" fillId="0" borderId="0"/>
    <xf numFmtId="167" fontId="2" fillId="0" borderId="0"/>
    <xf numFmtId="167" fontId="14" fillId="0" borderId="0"/>
    <xf numFmtId="167" fontId="14" fillId="0" borderId="0"/>
    <xf numFmtId="167" fontId="14" fillId="0" borderId="0"/>
    <xf numFmtId="0" fontId="2" fillId="0" borderId="0"/>
    <xf numFmtId="166" fontId="17" fillId="0" borderId="0"/>
    <xf numFmtId="166" fontId="2" fillId="0" borderId="0"/>
    <xf numFmtId="167" fontId="45" fillId="0" borderId="0">
      <alignment vertical="center"/>
    </xf>
    <xf numFmtId="167" fontId="2" fillId="0" borderId="0"/>
    <xf numFmtId="167" fontId="67" fillId="0" borderId="0"/>
    <xf numFmtId="166" fontId="14" fillId="0" borderId="0">
      <alignment vertical="top"/>
    </xf>
    <xf numFmtId="167" fontId="17" fillId="0" borderId="0"/>
    <xf numFmtId="166"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7" fillId="0" borderId="0"/>
    <xf numFmtId="167" fontId="2" fillId="0" borderId="0"/>
    <xf numFmtId="167" fontId="2" fillId="0" borderId="0"/>
    <xf numFmtId="166" fontId="2" fillId="0" borderId="0"/>
    <xf numFmtId="167" fontId="2" fillId="0" borderId="0"/>
    <xf numFmtId="167" fontId="2" fillId="0" borderId="0"/>
    <xf numFmtId="167" fontId="17" fillId="0" borderId="0"/>
    <xf numFmtId="167" fontId="17" fillId="0" borderId="0"/>
    <xf numFmtId="167" fontId="17" fillId="0" borderId="0"/>
    <xf numFmtId="167" fontId="17" fillId="0" borderId="0"/>
    <xf numFmtId="167" fontId="17" fillId="0" borderId="0"/>
    <xf numFmtId="166" fontId="14" fillId="0" borderId="0">
      <alignment vertical="top"/>
    </xf>
    <xf numFmtId="167" fontId="2" fillId="0" borderId="0"/>
    <xf numFmtId="167" fontId="2" fillId="0" borderId="0"/>
    <xf numFmtId="167" fontId="27" fillId="0" borderId="0"/>
    <xf numFmtId="167" fontId="47" fillId="0" borderId="0"/>
    <xf numFmtId="167" fontId="35" fillId="15" borderId="42" applyNumberFormat="0" applyFont="0" applyAlignment="0" applyProtection="0"/>
    <xf numFmtId="167" fontId="35" fillId="15" borderId="42" applyNumberFormat="0" applyFont="0" applyAlignment="0" applyProtection="0"/>
    <xf numFmtId="167" fontId="35" fillId="15" borderId="42" applyNumberFormat="0" applyFont="0" applyAlignment="0" applyProtection="0"/>
    <xf numFmtId="167" fontId="27" fillId="15" borderId="42" applyNumberFormat="0" applyFont="0" applyAlignment="0" applyProtection="0"/>
    <xf numFmtId="167" fontId="68" fillId="13" borderId="39" applyNumberFormat="0" applyAlignment="0" applyProtection="0"/>
    <xf numFmtId="167" fontId="68" fillId="13" borderId="39" applyNumberFormat="0" applyAlignment="0" applyProtection="0"/>
    <xf numFmtId="167" fontId="68" fillId="13" borderId="39" applyNumberFormat="0" applyAlignment="0" applyProtection="0"/>
    <xf numFmtId="167" fontId="69" fillId="13" borderId="39" applyNumberFormat="0" applyAlignment="0" applyProtection="0"/>
    <xf numFmtId="173" fontId="2" fillId="0" borderId="0" applyFont="0" applyFill="0" applyBorder="0" applyAlignment="0" applyProtection="0"/>
    <xf numFmtId="9" fontId="14" fillId="0" borderId="0" applyFont="0" applyFill="0" applyBorder="0" applyAlignment="0" applyProtection="0">
      <alignment vertical="top"/>
    </xf>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3" fontId="17" fillId="0" borderId="0" applyFont="0" applyFill="0" applyBorder="0" applyAlignment="0" applyProtection="0"/>
    <xf numFmtId="174"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2" fillId="0" borderId="0" applyFont="0" applyFill="0" applyBorder="0" applyAlignment="0" applyProtection="0"/>
    <xf numFmtId="9" fontId="31" fillId="0" borderId="0" applyFont="0" applyFill="0" applyBorder="0" applyAlignment="0" applyProtection="0"/>
    <xf numFmtId="4" fontId="13" fillId="4" borderId="46" applyNumberFormat="0" applyProtection="0">
      <alignment vertical="center"/>
    </xf>
    <xf numFmtId="4" fontId="70" fillId="4" borderId="46" applyNumberFormat="0" applyProtection="0">
      <alignment vertical="center"/>
    </xf>
    <xf numFmtId="4" fontId="71" fillId="4" borderId="46" applyNumberFormat="0" applyProtection="0">
      <alignment horizontal="left" vertical="center" indent="1"/>
    </xf>
    <xf numFmtId="4" fontId="71" fillId="53" borderId="0" applyNumberFormat="0" applyProtection="0">
      <alignment horizontal="left" vertical="center" indent="1"/>
    </xf>
    <xf numFmtId="4" fontId="71" fillId="43" borderId="46" applyNumberFormat="0" applyProtection="0">
      <alignment horizontal="right" vertical="center"/>
    </xf>
    <xf numFmtId="4" fontId="71" fillId="54" borderId="46" applyNumberFormat="0" applyProtection="0">
      <alignment horizontal="right" vertical="center"/>
    </xf>
    <xf numFmtId="4" fontId="71" fillId="55" borderId="46" applyNumberFormat="0" applyProtection="0">
      <alignment horizontal="right" vertical="center"/>
    </xf>
    <xf numFmtId="4" fontId="71" fillId="56" borderId="46" applyNumberFormat="0" applyProtection="0">
      <alignment horizontal="right" vertical="center"/>
    </xf>
    <xf numFmtId="4" fontId="71" fillId="57" borderId="46" applyNumberFormat="0" applyProtection="0">
      <alignment horizontal="right" vertical="center"/>
    </xf>
    <xf numFmtId="4" fontId="71" fillId="58" borderId="46" applyNumberFormat="0" applyProtection="0">
      <alignment horizontal="right" vertical="center"/>
    </xf>
    <xf numFmtId="4" fontId="71" fillId="59" borderId="46" applyNumberFormat="0" applyProtection="0">
      <alignment horizontal="right" vertical="center"/>
    </xf>
    <xf numFmtId="4" fontId="71" fillId="60" borderId="46" applyNumberFormat="0" applyProtection="0">
      <alignment horizontal="right" vertical="center"/>
    </xf>
    <xf numFmtId="4" fontId="71" fillId="61" borderId="46" applyNumberFormat="0" applyProtection="0">
      <alignment horizontal="right" vertical="center"/>
    </xf>
    <xf numFmtId="4" fontId="72" fillId="62" borderId="47" applyNumberFormat="0" applyProtection="0">
      <alignment horizontal="left" vertical="center" indent="1"/>
    </xf>
    <xf numFmtId="4" fontId="72" fillId="41" borderId="0" applyNumberFormat="0" applyProtection="0">
      <alignment horizontal="left" vertical="center" indent="1"/>
    </xf>
    <xf numFmtId="4" fontId="72" fillId="53" borderId="0" applyNumberFormat="0" applyProtection="0">
      <alignment horizontal="left" vertical="center" indent="1"/>
    </xf>
    <xf numFmtId="4" fontId="71" fillId="41" borderId="46" applyNumberFormat="0" applyProtection="0">
      <alignment horizontal="right" vertical="center"/>
    </xf>
    <xf numFmtId="4" fontId="14" fillId="41" borderId="0" applyNumberFormat="0" applyProtection="0">
      <alignment horizontal="left" vertical="center" indent="1"/>
    </xf>
    <xf numFmtId="4" fontId="14" fillId="53" borderId="0" applyNumberFormat="0" applyProtection="0">
      <alignment horizontal="left" vertical="center" indent="1"/>
    </xf>
    <xf numFmtId="4" fontId="71" fillId="63" borderId="46" applyNumberFormat="0" applyProtection="0">
      <alignment vertical="center"/>
    </xf>
    <xf numFmtId="4" fontId="73" fillId="63" borderId="46" applyNumberFormat="0" applyProtection="0">
      <alignment vertical="center"/>
    </xf>
    <xf numFmtId="4" fontId="72" fillId="41" borderId="48" applyNumberFormat="0" applyProtection="0">
      <alignment horizontal="left" vertical="center" indent="1"/>
    </xf>
    <xf numFmtId="4" fontId="14" fillId="2" borderId="46" applyNumberFormat="0" applyProtection="0">
      <alignment horizontal="right" vertical="center"/>
    </xf>
    <xf numFmtId="4" fontId="73" fillId="63" borderId="46" applyNumberFormat="0" applyProtection="0">
      <alignment horizontal="right" vertical="center"/>
    </xf>
    <xf numFmtId="4" fontId="74" fillId="64" borderId="49" applyNumberFormat="0" applyProtection="0">
      <alignment horizontal="center" vertical="center"/>
    </xf>
    <xf numFmtId="4" fontId="75" fillId="65" borderId="48" applyNumberFormat="0" applyProtection="0">
      <alignment horizontal="left" vertical="center" indent="1"/>
    </xf>
    <xf numFmtId="4" fontId="76" fillId="63" borderId="46" applyNumberFormat="0" applyProtection="0">
      <alignment horizontal="right" vertical="center"/>
    </xf>
    <xf numFmtId="166" fontId="27" fillId="0" borderId="0" applyNumberFormat="0" applyAlignment="0" applyProtection="0"/>
    <xf numFmtId="0" fontId="26" fillId="0" borderId="50" applyFill="0" applyProtection="0">
      <alignment wrapText="1"/>
    </xf>
    <xf numFmtId="166" fontId="22" fillId="0" borderId="0" applyAlignment="0" applyProtection="0"/>
    <xf numFmtId="166" fontId="22" fillId="0" borderId="0" applyAlignment="0" applyProtection="0"/>
    <xf numFmtId="166" fontId="22" fillId="0" borderId="0" applyAlignment="0" applyProtection="0"/>
    <xf numFmtId="166" fontId="22" fillId="0" borderId="0" applyAlignment="0" applyProtection="0"/>
    <xf numFmtId="166" fontId="22" fillId="0" borderId="0" applyAlignment="0" applyProtection="0"/>
    <xf numFmtId="166" fontId="22" fillId="0" borderId="0" applyAlignment="0" applyProtection="0"/>
    <xf numFmtId="166" fontId="22" fillId="0" borderId="0" applyAlignment="0" applyProtection="0"/>
    <xf numFmtId="175" fontId="24" fillId="0" borderId="34" applyNumberFormat="0" applyFill="0" applyAlignment="0" applyProtection="0"/>
    <xf numFmtId="167" fontId="49" fillId="0" borderId="0"/>
    <xf numFmtId="176" fontId="6" fillId="0" borderId="0" applyNumberFormat="0" applyFont="0" applyFill="0" applyBorder="0" applyAlignment="0"/>
    <xf numFmtId="17" fontId="30" fillId="0" borderId="35"/>
    <xf numFmtId="167" fontId="77" fillId="0" borderId="43" applyNumberFormat="0" applyFill="0" applyAlignment="0" applyProtection="0"/>
    <xf numFmtId="167" fontId="77" fillId="0" borderId="43" applyNumberFormat="0" applyFill="0" applyAlignment="0" applyProtection="0"/>
    <xf numFmtId="167" fontId="77" fillId="0" borderId="43" applyNumberFormat="0" applyFill="0" applyAlignment="0" applyProtection="0"/>
    <xf numFmtId="167" fontId="78" fillId="0" borderId="43" applyNumberFormat="0" applyFill="0" applyAlignment="0" applyProtection="0"/>
    <xf numFmtId="167" fontId="79" fillId="0" borderId="0" applyNumberFormat="0" applyFill="0" applyBorder="0" applyAlignment="0" applyProtection="0"/>
    <xf numFmtId="167" fontId="79" fillId="0" borderId="0" applyNumberFormat="0" applyFill="0" applyBorder="0" applyAlignment="0" applyProtection="0"/>
    <xf numFmtId="167" fontId="79" fillId="0" borderId="0" applyNumberFormat="0" applyFill="0" applyBorder="0" applyAlignment="0" applyProtection="0"/>
    <xf numFmtId="167" fontId="80" fillId="0" borderId="0" applyNumberFormat="0" applyFill="0" applyBorder="0" applyAlignment="0" applyProtection="0"/>
    <xf numFmtId="167" fontId="58" fillId="0" borderId="0" applyNumberFormat="0" applyFill="0" applyBorder="0" applyAlignment="0" applyProtection="0">
      <alignment vertical="top"/>
      <protection locked="0"/>
    </xf>
    <xf numFmtId="167" fontId="17" fillId="0" borderId="0"/>
    <xf numFmtId="43" fontId="17" fillId="0" borderId="0" applyFont="0" applyFill="0" applyBorder="0" applyAlignment="0" applyProtection="0"/>
    <xf numFmtId="38" fontId="44"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38" fontId="44" fillId="0" borderId="0" applyFont="0" applyFill="0" applyBorder="0" applyAlignment="0" applyProtection="0"/>
    <xf numFmtId="41" fontId="17" fillId="0" borderId="0" applyFont="0" applyFill="0" applyBorder="0" applyAlignment="0" applyProtection="0"/>
    <xf numFmtId="167" fontId="81" fillId="0" borderId="0">
      <alignment vertical="center"/>
    </xf>
    <xf numFmtId="167" fontId="81" fillId="0" borderId="0">
      <alignment vertical="center"/>
    </xf>
    <xf numFmtId="167" fontId="17" fillId="0" borderId="0"/>
    <xf numFmtId="167" fontId="81" fillId="0" borderId="0">
      <alignment vertical="center"/>
    </xf>
    <xf numFmtId="167" fontId="81" fillId="0" borderId="0">
      <alignment vertical="center"/>
    </xf>
    <xf numFmtId="167" fontId="81" fillId="0" borderId="0">
      <alignment vertical="center"/>
    </xf>
    <xf numFmtId="167" fontId="44" fillId="0" borderId="0"/>
    <xf numFmtId="167" fontId="81" fillId="0" borderId="0">
      <alignment vertical="center"/>
    </xf>
    <xf numFmtId="167" fontId="44" fillId="0" borderId="0"/>
    <xf numFmtId="167" fontId="44" fillId="0" borderId="0"/>
    <xf numFmtId="167" fontId="81" fillId="0" borderId="0">
      <alignment vertical="center"/>
    </xf>
    <xf numFmtId="167" fontId="81" fillId="0" borderId="0">
      <alignment vertical="center"/>
    </xf>
    <xf numFmtId="167" fontId="81" fillId="0" borderId="0">
      <alignment vertical="center"/>
    </xf>
    <xf numFmtId="167" fontId="81" fillId="0" borderId="0">
      <alignment vertical="center"/>
    </xf>
    <xf numFmtId="167" fontId="36" fillId="0" borderId="0">
      <alignment vertical="center"/>
    </xf>
    <xf numFmtId="167" fontId="81" fillId="0" borderId="0">
      <alignment vertical="center"/>
    </xf>
    <xf numFmtId="167" fontId="81" fillId="0" borderId="0">
      <alignment vertical="center"/>
    </xf>
    <xf numFmtId="9" fontId="83" fillId="0" borderId="0" applyFont="0" applyFill="0" applyBorder="0" applyAlignment="0" applyProtection="0"/>
    <xf numFmtId="188" fontId="3" fillId="0" borderId="0">
      <alignment horizontal="center" vertical="center"/>
    </xf>
    <xf numFmtId="181" fontId="87" fillId="69" borderId="54">
      <alignment horizontal="right"/>
      <protection locked="0"/>
    </xf>
    <xf numFmtId="0" fontId="85" fillId="0" borderId="0"/>
    <xf numFmtId="0" fontId="35" fillId="0" borderId="0"/>
  </cellStyleXfs>
  <cellXfs count="269">
    <xf numFmtId="0" fontId="0" fillId="0" borderId="0" xfId="0"/>
    <xf numFmtId="0" fontId="4" fillId="0" borderId="1" xfId="0" applyFont="1" applyBorder="1"/>
    <xf numFmtId="0" fontId="7" fillId="2" borderId="2" xfId="1" applyFont="1" applyBorder="1" applyAlignment="1">
      <alignment horizontal="center"/>
    </xf>
    <xf numFmtId="0" fontId="8" fillId="2" borderId="2" xfId="1" applyFont="1" applyBorder="1" applyAlignment="1">
      <alignment horizontal="center"/>
    </xf>
    <xf numFmtId="0" fontId="0" fillId="0" borderId="0" xfId="0" applyAlignment="1">
      <alignment horizontal="center"/>
    </xf>
    <xf numFmtId="0" fontId="0" fillId="3" borderId="2" xfId="2" applyFont="1" applyBorder="1" applyAlignment="1">
      <alignment horizontal="center"/>
    </xf>
    <xf numFmtId="0" fontId="0" fillId="2" borderId="2" xfId="1" applyFont="1" applyBorder="1" applyAlignment="1">
      <alignment horizontal="center"/>
    </xf>
    <xf numFmtId="0" fontId="8" fillId="0" borderId="0" xfId="0" applyFont="1"/>
    <xf numFmtId="0" fontId="0" fillId="0" borderId="3" xfId="0" applyBorder="1"/>
    <xf numFmtId="0" fontId="7" fillId="2" borderId="2" xfId="1" applyFont="1" applyBorder="1"/>
    <xf numFmtId="0" fontId="8" fillId="2" borderId="2" xfId="1" applyFont="1" applyBorder="1"/>
    <xf numFmtId="0" fontId="0" fillId="3" borderId="2" xfId="2" applyFont="1" applyBorder="1"/>
    <xf numFmtId="15" fontId="7" fillId="2" borderId="2" xfId="1" applyNumberFormat="1" applyFont="1" applyBorder="1"/>
    <xf numFmtId="0" fontId="0" fillId="3" borderId="4" xfId="2" applyFont="1" applyBorder="1" applyAlignment="1">
      <alignment horizontal="center"/>
    </xf>
    <xf numFmtId="0" fontId="13" fillId="0" borderId="5" xfId="0" applyFont="1" applyBorder="1"/>
    <xf numFmtId="0" fontId="0" fillId="3" borderId="2" xfId="2" applyFont="1" applyBorder="1" applyAlignment="1">
      <alignment horizontal="center" wrapText="1"/>
    </xf>
    <xf numFmtId="0" fontId="0" fillId="3" borderId="4" xfId="2" applyFont="1" applyBorder="1"/>
    <xf numFmtId="0" fontId="0" fillId="3" borderId="6" xfId="2" applyFont="1" applyBorder="1" applyAlignment="1">
      <alignment horizontal="right"/>
    </xf>
    <xf numFmtId="0" fontId="0" fillId="0" borderId="0" xfId="0" quotePrefix="1"/>
    <xf numFmtId="0" fontId="0" fillId="3" borderId="2" xfId="2" applyFont="1" applyBorder="1" applyAlignment="1">
      <alignment horizontal="centerContinuous"/>
    </xf>
    <xf numFmtId="0" fontId="8" fillId="0" borderId="0" xfId="0" applyFont="1" applyAlignment="1">
      <alignment horizontal="right"/>
    </xf>
    <xf numFmtId="0" fontId="3" fillId="3" borderId="2" xfId="2" applyBorder="1" applyAlignment="1">
      <alignment horizontal="center"/>
    </xf>
    <xf numFmtId="0" fontId="0" fillId="3" borderId="2" xfId="2" applyFont="1" applyBorder="1" applyAlignment="1">
      <alignment horizontal="right"/>
    </xf>
    <xf numFmtId="0" fontId="15" fillId="3" borderId="2" xfId="2" applyFont="1" applyBorder="1" applyAlignment="1">
      <alignment horizontal="center"/>
    </xf>
    <xf numFmtId="0" fontId="0" fillId="3" borderId="8" xfId="2" applyFont="1" applyBorder="1"/>
    <xf numFmtId="20" fontId="7" fillId="2" borderId="2" xfId="1" applyNumberFormat="1" applyFont="1" applyBorder="1" applyAlignment="1">
      <alignment horizontal="center"/>
    </xf>
    <xf numFmtId="49" fontId="0" fillId="0" borderId="0" xfId="0" applyNumberFormat="1"/>
    <xf numFmtId="0" fontId="3" fillId="3" borderId="2" xfId="2" applyBorder="1"/>
    <xf numFmtId="0" fontId="0" fillId="3" borderId="4" xfId="2" applyFont="1" applyBorder="1" applyAlignment="1">
      <alignment horizontal="centerContinuous"/>
    </xf>
    <xf numFmtId="0" fontId="0" fillId="3" borderId="6" xfId="2" applyFont="1" applyBorder="1" applyAlignment="1">
      <alignment horizontal="centerContinuous"/>
    </xf>
    <xf numFmtId="0" fontId="0" fillId="3" borderId="7" xfId="2" applyFont="1" applyBorder="1" applyAlignment="1">
      <alignment horizontal="centerContinuous"/>
    </xf>
    <xf numFmtId="15" fontId="7" fillId="2" borderId="2" xfId="1" applyNumberFormat="1" applyFont="1" applyBorder="1" applyAlignment="1">
      <alignment horizontal="center"/>
    </xf>
    <xf numFmtId="0" fontId="0" fillId="3" borderId="7" xfId="2" applyFont="1" applyBorder="1" applyAlignment="1">
      <alignment horizontal="right"/>
    </xf>
    <xf numFmtId="0" fontId="0" fillId="3" borderId="6" xfId="2" applyFont="1" applyBorder="1"/>
    <xf numFmtId="0" fontId="0" fillId="3" borderId="7" xfId="2" applyFont="1" applyBorder="1"/>
    <xf numFmtId="15" fontId="8" fillId="2" borderId="2" xfId="1" applyNumberFormat="1" applyFont="1" applyBorder="1"/>
    <xf numFmtId="0" fontId="0" fillId="0" borderId="0" xfId="0" applyAlignment="1">
      <alignment horizontal="left"/>
    </xf>
    <xf numFmtId="0" fontId="3" fillId="3" borderId="4" xfId="2" applyBorder="1"/>
    <xf numFmtId="0" fontId="3" fillId="3" borderId="6" xfId="2" applyBorder="1"/>
    <xf numFmtId="15" fontId="8" fillId="2" borderId="2" xfId="1" applyNumberFormat="1" applyFont="1" applyBorder="1" applyAlignment="1">
      <alignment horizontal="center"/>
    </xf>
    <xf numFmtId="0" fontId="0" fillId="3" borderId="10" xfId="2" applyFont="1" applyBorder="1" applyAlignment="1">
      <alignment horizontal="center"/>
    </xf>
    <xf numFmtId="0" fontId="0" fillId="3" borderId="11" xfId="2" applyFont="1" applyBorder="1" applyAlignment="1">
      <alignment horizontal="center"/>
    </xf>
    <xf numFmtId="0" fontId="0" fillId="3" borderId="9" xfId="2" applyFont="1" applyBorder="1" applyAlignment="1">
      <alignment horizontal="centerContinuous"/>
    </xf>
    <xf numFmtId="0" fontId="3" fillId="3" borderId="2" xfId="2" applyFont="1" applyBorder="1" applyAlignment="1">
      <alignment horizontal="center"/>
    </xf>
    <xf numFmtId="0" fontId="18" fillId="3" borderId="2" xfId="2" applyFont="1" applyBorder="1" applyAlignment="1">
      <alignment horizontal="center"/>
    </xf>
    <xf numFmtId="0" fontId="19" fillId="3" borderId="2" xfId="2" applyFont="1" applyBorder="1" applyAlignment="1">
      <alignment horizontal="center"/>
    </xf>
    <xf numFmtId="0" fontId="20" fillId="3" borderId="2" xfId="2" applyFont="1" applyBorder="1" applyAlignment="1">
      <alignment horizontal="center"/>
    </xf>
    <xf numFmtId="0" fontId="20" fillId="2" borderId="2" xfId="1" applyFont="1" applyBorder="1" applyAlignment="1">
      <alignment horizontal="center"/>
    </xf>
    <xf numFmtId="0" fontId="19" fillId="2" borderId="2" xfId="1" applyFont="1" applyBorder="1" applyAlignment="1">
      <alignment horizontal="center"/>
    </xf>
    <xf numFmtId="0" fontId="18" fillId="2" borderId="2" xfId="1" applyFont="1" applyBorder="1" applyAlignment="1">
      <alignment horizontal="center"/>
    </xf>
    <xf numFmtId="0" fontId="0" fillId="0" borderId="22" xfId="0" applyBorder="1"/>
    <xf numFmtId="0" fontId="0" fillId="3" borderId="20" xfId="2" applyFont="1" applyBorder="1" applyAlignment="1">
      <alignment horizontal="center"/>
    </xf>
    <xf numFmtId="0" fontId="7" fillId="2" borderId="21" xfId="1" applyFont="1" applyBorder="1" applyAlignment="1">
      <alignment horizontal="center"/>
    </xf>
    <xf numFmtId="0" fontId="8" fillId="2" borderId="23" xfId="1" applyFont="1" applyBorder="1" applyAlignment="1">
      <alignment horizontal="center"/>
    </xf>
    <xf numFmtId="0" fontId="3" fillId="3" borderId="2" xfId="2" applyBorder="1" applyAlignment="1">
      <alignment horizontal="centerContinuous"/>
    </xf>
    <xf numFmtId="0" fontId="21" fillId="0" borderId="0" xfId="0" applyFont="1"/>
    <xf numFmtId="0" fontId="3" fillId="3" borderId="7" xfId="2" applyBorder="1"/>
    <xf numFmtId="0" fontId="3" fillId="3" borderId="4" xfId="2" applyFont="1" applyBorder="1"/>
    <xf numFmtId="164" fontId="23" fillId="0" borderId="0" xfId="4"/>
    <xf numFmtId="0" fontId="82" fillId="0" borderId="0" xfId="0" applyFont="1"/>
    <xf numFmtId="0" fontId="8" fillId="0" borderId="0" xfId="0" quotePrefix="1" applyFont="1"/>
    <xf numFmtId="0" fontId="3" fillId="0" borderId="0" xfId="0" quotePrefix="1" applyFont="1"/>
    <xf numFmtId="0" fontId="0" fillId="3" borderId="9" xfId="2" applyFont="1" applyBorder="1"/>
    <xf numFmtId="0" fontId="0" fillId="3" borderId="51" xfId="2" applyFont="1" applyBorder="1"/>
    <xf numFmtId="0" fontId="0" fillId="3" borderId="52" xfId="2" applyFont="1" applyBorder="1"/>
    <xf numFmtId="0" fontId="0" fillId="3" borderId="53" xfId="2" applyFont="1" applyBorder="1"/>
    <xf numFmtId="0" fontId="0" fillId="3" borderId="9" xfId="2" applyFont="1" applyBorder="1" applyAlignment="1">
      <alignment horizontal="right"/>
    </xf>
    <xf numFmtId="177" fontId="8" fillId="2" borderId="2" xfId="1" applyNumberFormat="1" applyFont="1" applyBorder="1" applyAlignment="1">
      <alignment horizontal="center"/>
    </xf>
    <xf numFmtId="0" fontId="0" fillId="3" borderId="11" xfId="2" applyFont="1" applyBorder="1" applyAlignment="1">
      <alignment horizontal="right"/>
    </xf>
    <xf numFmtId="0" fontId="0" fillId="3" borderId="10" xfId="2" applyFont="1" applyBorder="1" applyAlignment="1">
      <alignment horizontal="right"/>
    </xf>
    <xf numFmtId="0" fontId="9" fillId="0" borderId="0" xfId="0" applyFont="1"/>
    <xf numFmtId="0" fontId="3" fillId="0" borderId="0" xfId="0" applyFont="1"/>
    <xf numFmtId="9" fontId="0" fillId="0" borderId="0" xfId="0" applyNumberFormat="1"/>
    <xf numFmtId="9" fontId="7" fillId="2" borderId="2" xfId="1160" applyFont="1" applyFill="1" applyBorder="1" applyAlignment="1">
      <alignment horizontal="center"/>
    </xf>
    <xf numFmtId="0" fontId="0" fillId="0" borderId="0" xfId="0" applyAlignment="1">
      <alignment horizontal="right"/>
    </xf>
    <xf numFmtId="6" fontId="7" fillId="2" borderId="2" xfId="1" applyNumberFormat="1" applyFont="1" applyBorder="1" applyAlignment="1">
      <alignment horizontal="center"/>
    </xf>
    <xf numFmtId="6" fontId="8" fillId="2" borderId="2" xfId="1" applyNumberFormat="1" applyFont="1" applyBorder="1" applyAlignment="1">
      <alignment horizontal="center"/>
    </xf>
    <xf numFmtId="178" fontId="8" fillId="2" borderId="2" xfId="1" applyNumberFormat="1" applyFont="1" applyBorder="1" applyAlignment="1">
      <alignment horizontal="center"/>
    </xf>
    <xf numFmtId="178" fontId="7" fillId="2" borderId="2" xfId="1" applyNumberFormat="1" applyFont="1" applyBorder="1" applyAlignment="1">
      <alignment horizontal="center"/>
    </xf>
    <xf numFmtId="178" fontId="7" fillId="2" borderId="12" xfId="1" applyNumberFormat="1" applyFont="1" applyBorder="1" applyAlignment="1">
      <alignment horizontal="center"/>
    </xf>
    <xf numFmtId="178" fontId="7" fillId="2" borderId="13" xfId="1" applyNumberFormat="1" applyFont="1" applyBorder="1" applyAlignment="1">
      <alignment horizontal="center"/>
    </xf>
    <xf numFmtId="178" fontId="7" fillId="2" borderId="14" xfId="1" applyNumberFormat="1" applyFont="1" applyBorder="1" applyAlignment="1">
      <alignment horizontal="center"/>
    </xf>
    <xf numFmtId="178" fontId="7" fillId="2" borderId="15" xfId="1" applyNumberFormat="1" applyFont="1" applyBorder="1" applyAlignment="1">
      <alignment horizontal="center"/>
    </xf>
    <xf numFmtId="178" fontId="7" fillId="2" borderId="16" xfId="1" applyNumberFormat="1" applyFont="1" applyBorder="1" applyAlignment="1">
      <alignment horizontal="center"/>
    </xf>
    <xf numFmtId="178" fontId="7" fillId="2" borderId="17" xfId="1" applyNumberFormat="1" applyFont="1" applyBorder="1" applyAlignment="1">
      <alignment horizontal="center"/>
    </xf>
    <xf numFmtId="178" fontId="7" fillId="2" borderId="18" xfId="1" applyNumberFormat="1" applyFont="1" applyBorder="1" applyAlignment="1">
      <alignment horizontal="center"/>
    </xf>
    <xf numFmtId="178" fontId="7" fillId="2" borderId="19" xfId="1" applyNumberFormat="1" applyFont="1" applyBorder="1" applyAlignment="1">
      <alignment horizontal="center"/>
    </xf>
    <xf numFmtId="0" fontId="0" fillId="3" borderId="2" xfId="2" applyFont="1" applyBorder="1" applyAlignment="1">
      <alignment horizontal="left"/>
    </xf>
    <xf numFmtId="0" fontId="3" fillId="3" borderId="8" xfId="2" applyFont="1" applyBorder="1"/>
    <xf numFmtId="0" fontId="3" fillId="3" borderId="9" xfId="2" applyBorder="1"/>
    <xf numFmtId="0" fontId="3" fillId="3" borderId="51" xfId="2" applyBorder="1"/>
    <xf numFmtId="0" fontId="3" fillId="3" borderId="52" xfId="2" applyBorder="1"/>
    <xf numFmtId="0" fontId="3" fillId="3" borderId="53" xfId="2" applyBorder="1"/>
    <xf numFmtId="179" fontId="7" fillId="2" borderId="2" xfId="1" applyNumberFormat="1" applyFont="1" applyBorder="1" applyAlignment="1">
      <alignment horizontal="center"/>
    </xf>
    <xf numFmtId="179" fontId="8" fillId="2" borderId="2" xfId="1" applyNumberFormat="1" applyFont="1" applyBorder="1" applyAlignment="1">
      <alignment horizontal="center"/>
    </xf>
    <xf numFmtId="0" fontId="84" fillId="2" borderId="2" xfId="1" applyFont="1" applyBorder="1" applyAlignment="1">
      <alignment horizontal="center"/>
    </xf>
    <xf numFmtId="49" fontId="0" fillId="0" borderId="0" xfId="0" quotePrefix="1" applyNumberFormat="1"/>
    <xf numFmtId="14" fontId="0" fillId="0" borderId="0" xfId="0" applyNumberFormat="1"/>
    <xf numFmtId="14" fontId="7" fillId="2" borderId="2" xfId="1" applyNumberFormat="1" applyFont="1" applyBorder="1" applyAlignment="1">
      <alignment horizontal="center"/>
    </xf>
    <xf numFmtId="180" fontId="84" fillId="2" borderId="2" xfId="1" applyNumberFormat="1" applyFont="1" applyBorder="1" applyAlignment="1">
      <alignment horizontal="center"/>
    </xf>
    <xf numFmtId="0" fontId="7" fillId="68" borderId="2" xfId="0" applyFont="1" applyFill="1" applyBorder="1" applyAlignment="1">
      <alignment horizontal="center"/>
    </xf>
    <xf numFmtId="0" fontId="8" fillId="68" borderId="2" xfId="0" applyFont="1" applyFill="1" applyBorder="1" applyAlignment="1">
      <alignment horizontal="center"/>
    </xf>
    <xf numFmtId="0" fontId="7" fillId="68" borderId="21" xfId="0" applyFont="1" applyFill="1" applyBorder="1" applyAlignment="1">
      <alignment horizontal="center"/>
    </xf>
    <xf numFmtId="0" fontId="8" fillId="68" borderId="23" xfId="0" applyFont="1" applyFill="1" applyBorder="1" applyAlignment="1">
      <alignment horizontal="center"/>
    </xf>
    <xf numFmtId="178" fontId="7" fillId="66" borderId="2" xfId="1" applyNumberFormat="1" applyFont="1" applyFill="1" applyBorder="1" applyAlignment="1">
      <alignment horizontal="center"/>
    </xf>
    <xf numFmtId="0" fontId="84" fillId="0" borderId="0" xfId="0" quotePrefix="1" applyFont="1" applyAlignment="1">
      <alignment horizontal="center"/>
    </xf>
    <xf numFmtId="184" fontId="7" fillId="2" borderId="2" xfId="1160" applyNumberFormat="1" applyFont="1" applyFill="1" applyBorder="1" applyAlignment="1">
      <alignment horizontal="center"/>
    </xf>
    <xf numFmtId="3" fontId="7" fillId="2" borderId="2" xfId="1" applyNumberFormat="1" applyFont="1" applyBorder="1" applyAlignment="1">
      <alignment horizontal="center"/>
    </xf>
    <xf numFmtId="3" fontId="84" fillId="2" borderId="2" xfId="1" applyNumberFormat="1" applyFont="1" applyBorder="1" applyAlignment="1">
      <alignment horizontal="center"/>
    </xf>
    <xf numFmtId="185" fontId="84" fillId="2" borderId="2" xfId="1" applyNumberFormat="1" applyFont="1" applyBorder="1" applyAlignment="1">
      <alignment horizontal="center"/>
    </xf>
    <xf numFmtId="186" fontId="84" fillId="2" borderId="2" xfId="1" applyNumberFormat="1" applyFont="1" applyBorder="1" applyAlignment="1">
      <alignment horizontal="center"/>
    </xf>
    <xf numFmtId="0" fontId="35" fillId="0" borderId="0" xfId="0" applyFont="1"/>
    <xf numFmtId="181" fontId="3" fillId="0" borderId="0" xfId="0" applyNumberFormat="1" applyFont="1" applyAlignment="1">
      <alignment horizontal="center"/>
    </xf>
    <xf numFmtId="181" fontId="6" fillId="0" borderId="0" xfId="0" applyNumberFormat="1" applyFont="1" applyAlignment="1">
      <alignment horizontal="center"/>
    </xf>
    <xf numFmtId="185" fontId="7" fillId="2" borderId="2" xfId="1" applyNumberFormat="1" applyFont="1" applyBorder="1" applyAlignment="1">
      <alignment horizontal="center"/>
    </xf>
    <xf numFmtId="184" fontId="84" fillId="2" borderId="2" xfId="1160" applyNumberFormat="1" applyFont="1" applyFill="1" applyBorder="1" applyAlignment="1">
      <alignment horizontal="center"/>
    </xf>
    <xf numFmtId="14" fontId="3" fillId="0" borderId="0" xfId="0" applyNumberFormat="1" applyFont="1"/>
    <xf numFmtId="187" fontId="3" fillId="3" borderId="2" xfId="2" applyNumberFormat="1" applyFont="1" applyBorder="1" applyAlignment="1">
      <alignment horizontal="center"/>
    </xf>
    <xf numFmtId="187" fontId="3" fillId="0" borderId="0" xfId="0" applyNumberFormat="1" applyFont="1"/>
    <xf numFmtId="166" fontId="86" fillId="0" borderId="0" xfId="981" applyNumberFormat="1" applyFont="1" applyFill="1" applyBorder="1" applyAlignment="1" applyProtection="1">
      <alignment horizontal="center"/>
    </xf>
    <xf numFmtId="183" fontId="3" fillId="0" borderId="0" xfId="0" applyNumberFormat="1" applyFont="1"/>
    <xf numFmtId="182" fontId="86" fillId="0" borderId="0" xfId="6" applyNumberFormat="1" applyFont="1" applyFill="1" applyBorder="1" applyProtection="1"/>
    <xf numFmtId="0" fontId="77" fillId="0" borderId="0" xfId="0" applyFont="1"/>
    <xf numFmtId="0" fontId="84" fillId="0" borderId="0" xfId="0" quotePrefix="1" applyFont="1"/>
    <xf numFmtId="0" fontId="84" fillId="0" borderId="0" xfId="0" quotePrefix="1" applyFont="1" applyAlignment="1">
      <alignment horizontal="right"/>
    </xf>
    <xf numFmtId="3" fontId="7" fillId="72" borderId="2" xfId="1" applyNumberFormat="1" applyFont="1" applyFill="1" applyBorder="1" applyAlignment="1">
      <alignment horizontal="center"/>
    </xf>
    <xf numFmtId="189" fontId="84" fillId="2" borderId="2" xfId="1" applyNumberFormat="1" applyFont="1" applyBorder="1" applyAlignment="1">
      <alignment horizontal="center"/>
    </xf>
    <xf numFmtId="189" fontId="3" fillId="0" borderId="0" xfId="0" applyNumberFormat="1" applyFont="1"/>
    <xf numFmtId="189" fontId="84" fillId="2" borderId="11" xfId="1" applyNumberFormat="1" applyFont="1" applyBorder="1" applyAlignment="1">
      <alignment horizontal="center"/>
    </xf>
    <xf numFmtId="0" fontId="3" fillId="0" borderId="3" xfId="0" applyFont="1" applyBorder="1"/>
    <xf numFmtId="189" fontId="84" fillId="2" borderId="55" xfId="1" applyNumberFormat="1" applyFont="1" applyBorder="1" applyAlignment="1">
      <alignment horizontal="center"/>
    </xf>
    <xf numFmtId="189" fontId="3" fillId="0" borderId="3" xfId="0" applyNumberFormat="1" applyFont="1" applyBorder="1"/>
    <xf numFmtId="189" fontId="84" fillId="71" borderId="11" xfId="1" applyNumberFormat="1" applyFont="1" applyFill="1" applyBorder="1" applyAlignment="1">
      <alignment horizontal="center"/>
    </xf>
    <xf numFmtId="188" fontId="3" fillId="0" borderId="0" xfId="1161">
      <alignment horizontal="center" vertical="center"/>
    </xf>
    <xf numFmtId="0" fontId="88" fillId="0" borderId="0" xfId="1022" applyFont="1" applyAlignment="1">
      <alignment horizontal="left" indent="1"/>
    </xf>
    <xf numFmtId="0" fontId="88" fillId="0" borderId="0" xfId="1022" applyFont="1" applyAlignment="1">
      <alignment horizontal="center"/>
    </xf>
    <xf numFmtId="0" fontId="88" fillId="0" borderId="0" xfId="1022" applyFont="1"/>
    <xf numFmtId="189" fontId="88" fillId="0" borderId="0" xfId="1022" applyNumberFormat="1" applyFont="1" applyAlignment="1">
      <alignment horizontal="center"/>
    </xf>
    <xf numFmtId="0" fontId="88" fillId="0" borderId="0" xfId="1022" applyFont="1" applyAlignment="1">
      <alignment horizontal="left" indent="2"/>
    </xf>
    <xf numFmtId="190" fontId="1" fillId="0" borderId="0" xfId="1022" applyNumberFormat="1" applyFont="1"/>
    <xf numFmtId="0" fontId="3" fillId="0" borderId="0" xfId="1022" applyFont="1" applyAlignment="1">
      <alignment horizontal="left" indent="1"/>
    </xf>
    <xf numFmtId="0" fontId="3" fillId="0" borderId="0" xfId="1022" applyFont="1" applyAlignment="1">
      <alignment horizontal="center"/>
    </xf>
    <xf numFmtId="0" fontId="9" fillId="0" borderId="0" xfId="1022" applyFont="1" applyAlignment="1">
      <alignment horizontal="left" indent="1"/>
    </xf>
    <xf numFmtId="0" fontId="3" fillId="0" borderId="0" xfId="1022" applyFont="1"/>
    <xf numFmtId="0" fontId="3" fillId="0" borderId="3" xfId="1022" applyFont="1" applyBorder="1" applyAlignment="1">
      <alignment horizontal="left" indent="1"/>
    </xf>
    <xf numFmtId="0" fontId="3" fillId="0" borderId="3" xfId="1022" applyFont="1" applyBorder="1" applyAlignment="1">
      <alignment horizontal="center"/>
    </xf>
    <xf numFmtId="181" fontId="84" fillId="2" borderId="2" xfId="1" applyNumberFormat="1" applyFont="1" applyBorder="1" applyAlignment="1">
      <alignment horizontal="center"/>
    </xf>
    <xf numFmtId="189" fontId="3" fillId="0" borderId="0" xfId="1022" applyNumberFormat="1" applyFont="1"/>
    <xf numFmtId="0" fontId="3" fillId="0" borderId="0" xfId="1163" applyFont="1"/>
    <xf numFmtId="0" fontId="35" fillId="0" borderId="0" xfId="1163" applyFont="1"/>
    <xf numFmtId="0" fontId="35" fillId="0" borderId="0" xfId="1164"/>
    <xf numFmtId="0" fontId="86" fillId="0" borderId="0" xfId="1164" applyFont="1"/>
    <xf numFmtId="192" fontId="77" fillId="0" borderId="0" xfId="1163" applyNumberFormat="1" applyFont="1" applyAlignment="1">
      <alignment horizontal="right"/>
    </xf>
    <xf numFmtId="0" fontId="89" fillId="0" borderId="0" xfId="1164" applyFont="1"/>
    <xf numFmtId="0" fontId="3" fillId="0" borderId="0" xfId="1164" applyFont="1"/>
    <xf numFmtId="0" fontId="35" fillId="0" borderId="0" xfId="1164" applyAlignment="1">
      <alignment horizontal="center"/>
    </xf>
    <xf numFmtId="193" fontId="3" fillId="0" borderId="0" xfId="1164" applyNumberFormat="1" applyFont="1"/>
    <xf numFmtId="194" fontId="3" fillId="0" borderId="0" xfId="1164" applyNumberFormat="1" applyFont="1"/>
    <xf numFmtId="0" fontId="3" fillId="0" borderId="0" xfId="1163" applyFont="1" applyAlignment="1">
      <alignment horizontal="center"/>
    </xf>
    <xf numFmtId="0" fontId="77" fillId="0" borderId="0" xfId="1164" applyFont="1"/>
    <xf numFmtId="191" fontId="29" fillId="73" borderId="56" xfId="1163" applyNumberFormat="1" applyFont="1" applyFill="1" applyBorder="1" applyAlignment="1">
      <alignment horizontal="center" vertical="center"/>
    </xf>
    <xf numFmtId="0" fontId="29" fillId="70" borderId="56" xfId="1163" applyFont="1" applyFill="1" applyBorder="1" applyAlignment="1">
      <alignment vertical="center"/>
    </xf>
    <xf numFmtId="0" fontId="37" fillId="70" borderId="56" xfId="1163" applyFont="1" applyFill="1" applyBorder="1" applyAlignment="1">
      <alignment horizontal="center" vertical="center"/>
    </xf>
    <xf numFmtId="0" fontId="29" fillId="70" borderId="56" xfId="1163" applyFont="1" applyFill="1" applyBorder="1" applyAlignment="1">
      <alignment horizontal="center" vertical="center"/>
    </xf>
    <xf numFmtId="0" fontId="37" fillId="70" borderId="56" xfId="1163" applyFont="1" applyFill="1" applyBorder="1" applyAlignment="1">
      <alignment vertical="center"/>
    </xf>
    <xf numFmtId="0" fontId="90" fillId="0" borderId="0" xfId="1164" applyFont="1"/>
    <xf numFmtId="0" fontId="79" fillId="0" borderId="0" xfId="1164" applyFont="1"/>
    <xf numFmtId="0" fontId="91" fillId="0" borderId="0" xfId="1164" applyFont="1"/>
    <xf numFmtId="0" fontId="92" fillId="0" borderId="0" xfId="1164" applyFont="1"/>
    <xf numFmtId="0" fontId="35" fillId="0" borderId="57" xfId="1164" applyBorder="1"/>
    <xf numFmtId="0" fontId="77" fillId="0" borderId="57" xfId="1164" applyFont="1" applyBorder="1"/>
    <xf numFmtId="10" fontId="7" fillId="2" borderId="2" xfId="1160" applyNumberFormat="1" applyFont="1" applyFill="1" applyBorder="1" applyAlignment="1">
      <alignment horizontal="center"/>
    </xf>
    <xf numFmtId="0" fontId="93" fillId="0" borderId="0" xfId="1164" applyFont="1"/>
    <xf numFmtId="0" fontId="77" fillId="0" borderId="58" xfId="1164" applyFont="1" applyBorder="1"/>
    <xf numFmtId="0" fontId="35" fillId="0" borderId="58" xfId="1164" applyBorder="1"/>
    <xf numFmtId="0" fontId="9" fillId="0" borderId="0" xfId="1164" applyFont="1"/>
    <xf numFmtId="0" fontId="9" fillId="0" borderId="0" xfId="1164" applyFont="1" applyAlignment="1">
      <alignment horizontal="center"/>
    </xf>
    <xf numFmtId="0" fontId="3" fillId="0" borderId="0" xfId="1164" applyFont="1" applyAlignment="1">
      <alignment horizontal="left"/>
    </xf>
    <xf numFmtId="193" fontId="3" fillId="0" borderId="0" xfId="1164" applyNumberFormat="1" applyFont="1" applyAlignment="1">
      <alignment horizontal="center"/>
    </xf>
    <xf numFmtId="194" fontId="3" fillId="0" borderId="0" xfId="1164" applyNumberFormat="1" applyFont="1" applyAlignment="1">
      <alignment horizontal="center"/>
    </xf>
    <xf numFmtId="194" fontId="86" fillId="0" borderId="0" xfId="1164" applyNumberFormat="1" applyFont="1"/>
    <xf numFmtId="195" fontId="3" fillId="0" borderId="0" xfId="1164" applyNumberFormat="1" applyFont="1" applyAlignment="1">
      <alignment horizontal="center"/>
    </xf>
    <xf numFmtId="3" fontId="35" fillId="0" borderId="0" xfId="1164" applyNumberFormat="1"/>
    <xf numFmtId="3" fontId="3" fillId="0" borderId="0" xfId="1164" applyNumberFormat="1" applyFont="1" applyAlignment="1">
      <alignment horizontal="center"/>
    </xf>
    <xf numFmtId="194" fontId="35" fillId="0" borderId="0" xfId="1164" applyNumberFormat="1"/>
    <xf numFmtId="0" fontId="35" fillId="0" borderId="0" xfId="1164" applyAlignment="1">
      <alignment wrapText="1"/>
    </xf>
    <xf numFmtId="0" fontId="77" fillId="0" borderId="59" xfId="1164" applyFont="1" applyBorder="1"/>
    <xf numFmtId="0" fontId="35" fillId="0" borderId="59" xfId="1164" applyBorder="1"/>
    <xf numFmtId="0" fontId="94" fillId="0" borderId="0" xfId="1164" applyFont="1"/>
    <xf numFmtId="196" fontId="84" fillId="2" borderId="2" xfId="1160" applyNumberFormat="1" applyFont="1" applyFill="1" applyBorder="1" applyAlignment="1">
      <alignment horizontal="center"/>
    </xf>
    <xf numFmtId="196" fontId="3" fillId="0" borderId="0" xfId="0" applyNumberFormat="1" applyFont="1"/>
    <xf numFmtId="9" fontId="3" fillId="0" borderId="0" xfId="0" quotePrefix="1" applyNumberFormat="1" applyFont="1"/>
    <xf numFmtId="197" fontId="84" fillId="2" borderId="2" xfId="1" applyNumberFormat="1" applyFont="1" applyBorder="1" applyAlignment="1">
      <alignment horizontal="center"/>
    </xf>
    <xf numFmtId="0" fontId="3" fillId="0" borderId="0" xfId="0" applyFont="1" applyAlignment="1">
      <alignment horizontal="center"/>
    </xf>
    <xf numFmtId="0" fontId="0" fillId="0" borderId="0" xfId="0"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0" xfId="0" quotePrefix="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97" fillId="74" borderId="0" xfId="0" applyFont="1" applyFill="1" applyAlignment="1">
      <alignment vertical="center" wrapText="1"/>
    </xf>
    <xf numFmtId="14" fontId="0" fillId="0" borderId="0" xfId="0" applyNumberFormat="1" applyAlignment="1">
      <alignment vertical="center" wrapText="1"/>
    </xf>
    <xf numFmtId="0" fontId="9" fillId="0" borderId="3" xfId="0" applyFont="1" applyBorder="1" applyAlignment="1">
      <alignment vertical="center" wrapText="1"/>
    </xf>
    <xf numFmtId="0" fontId="96" fillId="74" borderId="0" xfId="0" applyFont="1" applyFill="1" applyAlignment="1">
      <alignment vertical="center"/>
    </xf>
    <xf numFmtId="0" fontId="3" fillId="0" borderId="62"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99" fillId="0" borderId="60" xfId="0" applyFont="1" applyBorder="1" applyAlignment="1">
      <alignment vertical="center" wrapText="1"/>
    </xf>
    <xf numFmtId="0" fontId="99" fillId="0" borderId="61" xfId="0" applyFont="1" applyBorder="1" applyAlignment="1">
      <alignment vertical="center" wrapText="1"/>
    </xf>
    <xf numFmtId="0" fontId="99" fillId="0" borderId="62" xfId="0" applyFont="1" applyBorder="1" applyAlignment="1">
      <alignment vertical="center" wrapText="1"/>
    </xf>
    <xf numFmtId="0" fontId="57" fillId="0" borderId="0" xfId="3" applyFont="1"/>
    <xf numFmtId="164" fontId="31" fillId="0" borderId="0" xfId="4" applyFont="1"/>
    <xf numFmtId="164" fontId="101" fillId="0" borderId="0" xfId="4" applyFont="1"/>
    <xf numFmtId="49" fontId="31" fillId="0" borderId="0" xfId="4" applyNumberFormat="1" applyFont="1"/>
    <xf numFmtId="164" fontId="102" fillId="0" borderId="0" xfId="4" applyFont="1"/>
    <xf numFmtId="164" fontId="103" fillId="5" borderId="30" xfId="4" applyFont="1" applyFill="1" applyBorder="1"/>
    <xf numFmtId="164" fontId="103" fillId="5" borderId="31" xfId="4" applyFont="1" applyFill="1" applyBorder="1"/>
    <xf numFmtId="164" fontId="104" fillId="0" borderId="0" xfId="4" applyFont="1"/>
    <xf numFmtId="164" fontId="31" fillId="67" borderId="0" xfId="4" applyFont="1" applyFill="1"/>
    <xf numFmtId="164" fontId="107" fillId="6" borderId="0" xfId="4" applyFont="1" applyFill="1"/>
    <xf numFmtId="164" fontId="108" fillId="0" borderId="0" xfId="4" applyFont="1"/>
    <xf numFmtId="164" fontId="106" fillId="0" borderId="0" xfId="4" applyFont="1"/>
    <xf numFmtId="164" fontId="101" fillId="0" borderId="24" xfId="4" applyFont="1" applyBorder="1"/>
    <xf numFmtId="164" fontId="101" fillId="0" borderId="25" xfId="4" applyFont="1" applyBorder="1"/>
    <xf numFmtId="164" fontId="31" fillId="0" borderId="26" xfId="4" applyFont="1" applyBorder="1"/>
    <xf numFmtId="164" fontId="31" fillId="0" borderId="27" xfId="4" applyFont="1" applyBorder="1"/>
    <xf numFmtId="164" fontId="109" fillId="0" borderId="0" xfId="5" applyFont="1"/>
    <xf numFmtId="164" fontId="31" fillId="0" borderId="28" xfId="4" applyFont="1" applyBorder="1"/>
    <xf numFmtId="164" fontId="31" fillId="0" borderId="29" xfId="4" applyFont="1" applyBorder="1"/>
    <xf numFmtId="15" fontId="31" fillId="0" borderId="0" xfId="4" applyNumberFormat="1" applyFont="1"/>
    <xf numFmtId="164" fontId="31" fillId="0" borderId="65" xfId="4" applyFont="1" applyBorder="1"/>
    <xf numFmtId="164" fontId="31" fillId="0" borderId="67" xfId="4" applyFont="1" applyBorder="1"/>
    <xf numFmtId="164" fontId="101" fillId="0" borderId="66" xfId="4" applyFont="1" applyBorder="1" applyAlignment="1">
      <alignment horizontal="center"/>
    </xf>
    <xf numFmtId="198" fontId="31" fillId="67" borderId="0" xfId="4" applyNumberFormat="1" applyFont="1" applyFill="1"/>
    <xf numFmtId="0" fontId="111" fillId="0" borderId="0" xfId="1164" applyFont="1"/>
    <xf numFmtId="0" fontId="35" fillId="0" borderId="0" xfId="1164" applyAlignment="1">
      <alignment vertical="center"/>
    </xf>
    <xf numFmtId="0" fontId="93" fillId="0" borderId="0" xfId="1164" applyFont="1" applyAlignment="1">
      <alignment vertical="center"/>
    </xf>
    <xf numFmtId="0" fontId="113" fillId="0" borderId="0" xfId="5" applyNumberFormat="1" applyFont="1"/>
    <xf numFmtId="0" fontId="114" fillId="0" borderId="0" xfId="0" applyFont="1"/>
    <xf numFmtId="198" fontId="8" fillId="2" borderId="2" xfId="1" applyNumberFormat="1" applyFont="1" applyBorder="1" applyAlignment="1">
      <alignment horizontal="center"/>
    </xf>
    <xf numFmtId="184" fontId="7" fillId="2" borderId="2" xfId="1" applyNumberFormat="1" applyFont="1" applyBorder="1" applyAlignment="1">
      <alignment horizontal="center"/>
    </xf>
    <xf numFmtId="3" fontId="8" fillId="2" borderId="2" xfId="1" applyNumberFormat="1" applyFont="1" applyBorder="1" applyAlignment="1">
      <alignment horizontal="center"/>
    </xf>
    <xf numFmtId="3" fontId="8" fillId="2" borderId="55" xfId="1" applyNumberFormat="1" applyFont="1" applyBorder="1" applyAlignment="1">
      <alignment horizontal="center"/>
    </xf>
    <xf numFmtId="3" fontId="5" fillId="2" borderId="11" xfId="1" applyNumberFormat="1" applyFont="1" applyBorder="1" applyAlignment="1">
      <alignment horizontal="center"/>
    </xf>
    <xf numFmtId="0" fontId="7" fillId="2" borderId="2" xfId="1" applyFont="1" applyBorder="1" applyAlignment="1">
      <alignment horizontal="left"/>
    </xf>
    <xf numFmtId="0" fontId="7" fillId="2" borderId="10" xfId="1" applyFont="1" applyBorder="1" applyAlignment="1">
      <alignment horizontal="left"/>
    </xf>
    <xf numFmtId="0" fontId="117" fillId="2" borderId="68" xfId="1" applyFont="1" applyBorder="1" applyAlignment="1">
      <alignment horizontal="left"/>
    </xf>
    <xf numFmtId="3" fontId="7" fillId="2" borderId="10" xfId="1" applyNumberFormat="1" applyFont="1" applyBorder="1" applyAlignment="1">
      <alignment horizontal="center"/>
    </xf>
    <xf numFmtId="3" fontId="117" fillId="2" borderId="68" xfId="1" applyNumberFormat="1" applyFont="1" applyBorder="1" applyAlignment="1">
      <alignment horizontal="center"/>
    </xf>
    <xf numFmtId="3" fontId="84" fillId="2" borderId="10" xfId="1" applyNumberFormat="1" applyFont="1" applyBorder="1" applyAlignment="1">
      <alignment horizontal="center"/>
    </xf>
    <xf numFmtId="3" fontId="118" fillId="2" borderId="68" xfId="1" applyNumberFormat="1" applyFont="1" applyBorder="1" applyAlignment="1">
      <alignment horizontal="center"/>
    </xf>
    <xf numFmtId="0" fontId="84" fillId="2" borderId="2" xfId="1" applyFont="1" applyBorder="1"/>
    <xf numFmtId="1" fontId="8" fillId="2" borderId="2" xfId="1" applyNumberFormat="1" applyFont="1" applyBorder="1" applyAlignment="1">
      <alignment horizontal="center"/>
    </xf>
    <xf numFmtId="164" fontId="101" fillId="0" borderId="0" xfId="4" applyFont="1" applyAlignment="1">
      <alignment horizontal="center"/>
    </xf>
    <xf numFmtId="178" fontId="8" fillId="68" borderId="2" xfId="1" applyNumberFormat="1" applyFont="1" applyFill="1" applyBorder="1" applyAlignment="1">
      <alignment horizontal="center"/>
    </xf>
    <xf numFmtId="0" fontId="8" fillId="68" borderId="2" xfId="1" applyFont="1" applyFill="1" applyBorder="1" applyAlignment="1">
      <alignment horizontal="center"/>
    </xf>
    <xf numFmtId="14" fontId="84" fillId="68" borderId="2" xfId="1" applyNumberFormat="1" applyFont="1" applyFill="1" applyBorder="1" applyAlignment="1">
      <alignment horizontal="center"/>
    </xf>
    <xf numFmtId="3" fontId="84" fillId="68" borderId="2" xfId="1" applyNumberFormat="1" applyFont="1" applyFill="1" applyBorder="1" applyAlignment="1">
      <alignment horizontal="center"/>
    </xf>
    <xf numFmtId="0" fontId="84" fillId="68" borderId="2" xfId="1" applyFont="1" applyFill="1" applyBorder="1" applyAlignment="1">
      <alignment horizontal="center"/>
    </xf>
    <xf numFmtId="14" fontId="7" fillId="68" borderId="2" xfId="1" applyNumberFormat="1" applyFont="1" applyFill="1" applyBorder="1" applyAlignment="1">
      <alignment horizontal="center"/>
    </xf>
    <xf numFmtId="3" fontId="8" fillId="68" borderId="2" xfId="1" applyNumberFormat="1" applyFont="1" applyFill="1" applyBorder="1" applyAlignment="1">
      <alignment horizontal="center"/>
    </xf>
    <xf numFmtId="3" fontId="8" fillId="68" borderId="55" xfId="1" applyNumberFormat="1" applyFont="1" applyFill="1" applyBorder="1" applyAlignment="1">
      <alignment horizontal="center"/>
    </xf>
    <xf numFmtId="179" fontId="8" fillId="68" borderId="2" xfId="1" applyNumberFormat="1" applyFont="1" applyFill="1" applyBorder="1" applyAlignment="1">
      <alignment horizontal="center"/>
    </xf>
    <xf numFmtId="0" fontId="99" fillId="0" borderId="0" xfId="0" applyFont="1" applyAlignment="1">
      <alignment vertical="center"/>
    </xf>
    <xf numFmtId="197" fontId="84" fillId="68" borderId="2" xfId="1" applyNumberFormat="1" applyFont="1" applyFill="1" applyBorder="1" applyAlignment="1">
      <alignment horizontal="center"/>
    </xf>
    <xf numFmtId="198" fontId="84" fillId="68" borderId="2" xfId="1" applyNumberFormat="1" applyFont="1" applyFill="1" applyBorder="1" applyAlignment="1">
      <alignment horizontal="center"/>
    </xf>
  </cellXfs>
  <cellStyles count="1165">
    <cellStyle name="1_Vermögens-u.Kapitalstr." xfId="42" xr:uid="{00000000-0005-0000-0000-000000000000}"/>
    <cellStyle name="2_ANLAGE95" xfId="43" xr:uid="{00000000-0005-0000-0000-000001000000}"/>
    <cellStyle name="20% - Accent1 2" xfId="44" xr:uid="{00000000-0005-0000-0000-000002000000}"/>
    <cellStyle name="20% - Accent1 2 2" xfId="45" xr:uid="{00000000-0005-0000-0000-000003000000}"/>
    <cellStyle name="20% - Accent1 3" xfId="46" xr:uid="{00000000-0005-0000-0000-000004000000}"/>
    <cellStyle name="20% - Accent1 3 2" xfId="47" xr:uid="{00000000-0005-0000-0000-000005000000}"/>
    <cellStyle name="20% - Accent1 4" xfId="48" xr:uid="{00000000-0005-0000-0000-000006000000}"/>
    <cellStyle name="20% - Accent1 5" xfId="49" xr:uid="{00000000-0005-0000-0000-000007000000}"/>
    <cellStyle name="20% - Accent2 2" xfId="50" xr:uid="{00000000-0005-0000-0000-000008000000}"/>
    <cellStyle name="20% - Accent2 3" xfId="51" xr:uid="{00000000-0005-0000-0000-000009000000}"/>
    <cellStyle name="20% - Accent2 4" xfId="52" xr:uid="{00000000-0005-0000-0000-00000A000000}"/>
    <cellStyle name="20% - Accent2 5" xfId="53" xr:uid="{00000000-0005-0000-0000-00000B000000}"/>
    <cellStyle name="20% - Accent3 2" xfId="54" xr:uid="{00000000-0005-0000-0000-00000C000000}"/>
    <cellStyle name="20% - Accent3 3" xfId="55" xr:uid="{00000000-0005-0000-0000-00000D000000}"/>
    <cellStyle name="20% - Accent3 4" xfId="56" xr:uid="{00000000-0005-0000-0000-00000E000000}"/>
    <cellStyle name="20% - Accent3 5" xfId="57" xr:uid="{00000000-0005-0000-0000-00000F000000}"/>
    <cellStyle name="20% - Accent4 2" xfId="58" xr:uid="{00000000-0005-0000-0000-000010000000}"/>
    <cellStyle name="20% - Accent4 3" xfId="59" xr:uid="{00000000-0005-0000-0000-000011000000}"/>
    <cellStyle name="20% - Accent4 4" xfId="60" xr:uid="{00000000-0005-0000-0000-000012000000}"/>
    <cellStyle name="20% - Accent4 5" xfId="61" xr:uid="{00000000-0005-0000-0000-000013000000}"/>
    <cellStyle name="20% - Accent5 2" xfId="62" xr:uid="{00000000-0005-0000-0000-000014000000}"/>
    <cellStyle name="20% - Accent5 3" xfId="63" xr:uid="{00000000-0005-0000-0000-000015000000}"/>
    <cellStyle name="20% - Accent5 4" xfId="64" xr:uid="{00000000-0005-0000-0000-000016000000}"/>
    <cellStyle name="20% - Accent5 5" xfId="65" xr:uid="{00000000-0005-0000-0000-000017000000}"/>
    <cellStyle name="20% - Accent6 2" xfId="66" xr:uid="{00000000-0005-0000-0000-000018000000}"/>
    <cellStyle name="20% - Accent6 3" xfId="67" xr:uid="{00000000-0005-0000-0000-000019000000}"/>
    <cellStyle name="20% - Accent6 4" xfId="68" xr:uid="{00000000-0005-0000-0000-00001A000000}"/>
    <cellStyle name="20% - Accent6 5" xfId="69" xr:uid="{00000000-0005-0000-0000-00001B000000}"/>
    <cellStyle name="20% - アクセント 1 10" xfId="70" xr:uid="{00000000-0005-0000-0000-00001C000000}"/>
    <cellStyle name="20% - アクセント 1 10 2" xfId="71" xr:uid="{00000000-0005-0000-0000-00001D000000}"/>
    <cellStyle name="20% - アクセント 1 10 2 2" xfId="72" xr:uid="{00000000-0005-0000-0000-00001E000000}"/>
    <cellStyle name="20% - アクセント 1 10 2 3" xfId="73" xr:uid="{00000000-0005-0000-0000-00001F000000}"/>
    <cellStyle name="20% - アクセント 1 10 2 4" xfId="74" xr:uid="{00000000-0005-0000-0000-000020000000}"/>
    <cellStyle name="20% - アクセント 1 10 3" xfId="75" xr:uid="{00000000-0005-0000-0000-000021000000}"/>
    <cellStyle name="20% - アクセント 1 10 3 2" xfId="76" xr:uid="{00000000-0005-0000-0000-000022000000}"/>
    <cellStyle name="20% - アクセント 1 10 3 3" xfId="77" xr:uid="{00000000-0005-0000-0000-000023000000}"/>
    <cellStyle name="20% - アクセント 1 10 3 4" xfId="78" xr:uid="{00000000-0005-0000-0000-000024000000}"/>
    <cellStyle name="20% - アクセント 1 10 4" xfId="79" xr:uid="{00000000-0005-0000-0000-000025000000}"/>
    <cellStyle name="20% - アクセント 1 10 5" xfId="80" xr:uid="{00000000-0005-0000-0000-000026000000}"/>
    <cellStyle name="20% - アクセント 1 10 6" xfId="81" xr:uid="{00000000-0005-0000-0000-000027000000}"/>
    <cellStyle name="20% - アクセント 1 10_Monthly Segment Financial Statements_20091030" xfId="82" xr:uid="{00000000-0005-0000-0000-000028000000}"/>
    <cellStyle name="20% - アクセント 1 11" xfId="83" xr:uid="{00000000-0005-0000-0000-000029000000}"/>
    <cellStyle name="20% - アクセント 1 11 2" xfId="84" xr:uid="{00000000-0005-0000-0000-00002A000000}"/>
    <cellStyle name="20% - アクセント 1 11 2 2" xfId="85" xr:uid="{00000000-0005-0000-0000-00002B000000}"/>
    <cellStyle name="20% - アクセント 1 11 2 3" xfId="86" xr:uid="{00000000-0005-0000-0000-00002C000000}"/>
    <cellStyle name="20% - アクセント 1 11 2 4" xfId="87" xr:uid="{00000000-0005-0000-0000-00002D000000}"/>
    <cellStyle name="20% - アクセント 1 11 3" xfId="88" xr:uid="{00000000-0005-0000-0000-00002E000000}"/>
    <cellStyle name="20% - アクセント 1 11 3 2" xfId="89" xr:uid="{00000000-0005-0000-0000-00002F000000}"/>
    <cellStyle name="20% - アクセント 1 11 3 3" xfId="90" xr:uid="{00000000-0005-0000-0000-000030000000}"/>
    <cellStyle name="20% - アクセント 1 11 3 4" xfId="91" xr:uid="{00000000-0005-0000-0000-000031000000}"/>
    <cellStyle name="20% - アクセント 1 11 4" xfId="92" xr:uid="{00000000-0005-0000-0000-000032000000}"/>
    <cellStyle name="20% - アクセント 1 11 5" xfId="93" xr:uid="{00000000-0005-0000-0000-000033000000}"/>
    <cellStyle name="20% - アクセント 1 11 6" xfId="94" xr:uid="{00000000-0005-0000-0000-000034000000}"/>
    <cellStyle name="20% - アクセント 1 11_Monthly Segment Financial Statements_20091030" xfId="95" xr:uid="{00000000-0005-0000-0000-000035000000}"/>
    <cellStyle name="20% - アクセント 1 2" xfId="96" xr:uid="{00000000-0005-0000-0000-000036000000}"/>
    <cellStyle name="20% - アクセント 1 2 2" xfId="97" xr:uid="{00000000-0005-0000-0000-000037000000}"/>
    <cellStyle name="20% - アクセント 1 2 2 2" xfId="98" xr:uid="{00000000-0005-0000-0000-000038000000}"/>
    <cellStyle name="20% - アクセント 1 2 2 3" xfId="99" xr:uid="{00000000-0005-0000-0000-000039000000}"/>
    <cellStyle name="20% - アクセント 1 2 2 4" xfId="100" xr:uid="{00000000-0005-0000-0000-00003A000000}"/>
    <cellStyle name="20% - アクセント 1 2 3" xfId="101" xr:uid="{00000000-0005-0000-0000-00003B000000}"/>
    <cellStyle name="20% - アクセント 1 2 3 2" xfId="102" xr:uid="{00000000-0005-0000-0000-00003C000000}"/>
    <cellStyle name="20% - アクセント 1 2 3 3" xfId="103" xr:uid="{00000000-0005-0000-0000-00003D000000}"/>
    <cellStyle name="20% - アクセント 1 2 3 4" xfId="104" xr:uid="{00000000-0005-0000-0000-00003E000000}"/>
    <cellStyle name="20% - アクセント 1 2 4" xfId="105" xr:uid="{00000000-0005-0000-0000-00003F000000}"/>
    <cellStyle name="20% - アクセント 1 2 5" xfId="106" xr:uid="{00000000-0005-0000-0000-000040000000}"/>
    <cellStyle name="20% - アクセント 1 2 6" xfId="107" xr:uid="{00000000-0005-0000-0000-000041000000}"/>
    <cellStyle name="20% - アクセント 1 2_Monthly Segment Financial Statements_20091030" xfId="108" xr:uid="{00000000-0005-0000-0000-000042000000}"/>
    <cellStyle name="20% - アクセント 1 3" xfId="109" xr:uid="{00000000-0005-0000-0000-000043000000}"/>
    <cellStyle name="20% - アクセント 1 3 2" xfId="110" xr:uid="{00000000-0005-0000-0000-000044000000}"/>
    <cellStyle name="20% - アクセント 1 3 2 2" xfId="111" xr:uid="{00000000-0005-0000-0000-000045000000}"/>
    <cellStyle name="20% - アクセント 1 3 2 3" xfId="112" xr:uid="{00000000-0005-0000-0000-000046000000}"/>
    <cellStyle name="20% - アクセント 1 3 2 4" xfId="113" xr:uid="{00000000-0005-0000-0000-000047000000}"/>
    <cellStyle name="20% - アクセント 1 3 3" xfId="114" xr:uid="{00000000-0005-0000-0000-000048000000}"/>
    <cellStyle name="20% - アクセント 1 3 3 2" xfId="115" xr:uid="{00000000-0005-0000-0000-000049000000}"/>
    <cellStyle name="20% - アクセント 1 3 3 3" xfId="116" xr:uid="{00000000-0005-0000-0000-00004A000000}"/>
    <cellStyle name="20% - アクセント 1 3 3 4" xfId="117" xr:uid="{00000000-0005-0000-0000-00004B000000}"/>
    <cellStyle name="20% - アクセント 1 3 4" xfId="118" xr:uid="{00000000-0005-0000-0000-00004C000000}"/>
    <cellStyle name="20% - アクセント 1 3 5" xfId="119" xr:uid="{00000000-0005-0000-0000-00004D000000}"/>
    <cellStyle name="20% - アクセント 1 3 6" xfId="120" xr:uid="{00000000-0005-0000-0000-00004E000000}"/>
    <cellStyle name="20% - アクセント 1 3_Monthly Segment Financial Statements_20091030" xfId="121" xr:uid="{00000000-0005-0000-0000-00004F000000}"/>
    <cellStyle name="20% - アクセント 1 4" xfId="122" xr:uid="{00000000-0005-0000-0000-000050000000}"/>
    <cellStyle name="20% - アクセント 1 4 2" xfId="123" xr:uid="{00000000-0005-0000-0000-000051000000}"/>
    <cellStyle name="20% - アクセント 1 4 2 2" xfId="124" xr:uid="{00000000-0005-0000-0000-000052000000}"/>
    <cellStyle name="20% - アクセント 1 4 2 3" xfId="125" xr:uid="{00000000-0005-0000-0000-000053000000}"/>
    <cellStyle name="20% - アクセント 1 4 2 4" xfId="126" xr:uid="{00000000-0005-0000-0000-000054000000}"/>
    <cellStyle name="20% - アクセント 1 4 3" xfId="127" xr:uid="{00000000-0005-0000-0000-000055000000}"/>
    <cellStyle name="20% - アクセント 1 4 3 2" xfId="128" xr:uid="{00000000-0005-0000-0000-000056000000}"/>
    <cellStyle name="20% - アクセント 1 4 3 3" xfId="129" xr:uid="{00000000-0005-0000-0000-000057000000}"/>
    <cellStyle name="20% - アクセント 1 4 3 4" xfId="130" xr:uid="{00000000-0005-0000-0000-000058000000}"/>
    <cellStyle name="20% - アクセント 1 4 4" xfId="131" xr:uid="{00000000-0005-0000-0000-000059000000}"/>
    <cellStyle name="20% - アクセント 1 4 5" xfId="132" xr:uid="{00000000-0005-0000-0000-00005A000000}"/>
    <cellStyle name="20% - アクセント 1 4 6" xfId="133" xr:uid="{00000000-0005-0000-0000-00005B000000}"/>
    <cellStyle name="20% - アクセント 1 4_Monthly Segment Financial Statements_20091030" xfId="134" xr:uid="{00000000-0005-0000-0000-00005C000000}"/>
    <cellStyle name="20% - アクセント 1 5" xfId="135" xr:uid="{00000000-0005-0000-0000-00005D000000}"/>
    <cellStyle name="20% - アクセント 1 5 2" xfId="136" xr:uid="{00000000-0005-0000-0000-00005E000000}"/>
    <cellStyle name="20% - アクセント 1 5 2 2" xfId="137" xr:uid="{00000000-0005-0000-0000-00005F000000}"/>
    <cellStyle name="20% - アクセント 1 5 2 3" xfId="138" xr:uid="{00000000-0005-0000-0000-000060000000}"/>
    <cellStyle name="20% - アクセント 1 5 2 4" xfId="139" xr:uid="{00000000-0005-0000-0000-000061000000}"/>
    <cellStyle name="20% - アクセント 1 5 3" xfId="140" xr:uid="{00000000-0005-0000-0000-000062000000}"/>
    <cellStyle name="20% - アクセント 1 5 3 2" xfId="141" xr:uid="{00000000-0005-0000-0000-000063000000}"/>
    <cellStyle name="20% - アクセント 1 5 3 3" xfId="142" xr:uid="{00000000-0005-0000-0000-000064000000}"/>
    <cellStyle name="20% - アクセント 1 5 3 4" xfId="143" xr:uid="{00000000-0005-0000-0000-000065000000}"/>
    <cellStyle name="20% - アクセント 1 5 4" xfId="144" xr:uid="{00000000-0005-0000-0000-000066000000}"/>
    <cellStyle name="20% - アクセント 1 5 5" xfId="145" xr:uid="{00000000-0005-0000-0000-000067000000}"/>
    <cellStyle name="20% - アクセント 1 5 6" xfId="146" xr:uid="{00000000-0005-0000-0000-000068000000}"/>
    <cellStyle name="20% - アクセント 1 5_Monthly Segment Financial Statements_20091030" xfId="147" xr:uid="{00000000-0005-0000-0000-000069000000}"/>
    <cellStyle name="20% - アクセント 1 6" xfId="148" xr:uid="{00000000-0005-0000-0000-00006A000000}"/>
    <cellStyle name="20% - アクセント 1 6 2" xfId="149" xr:uid="{00000000-0005-0000-0000-00006B000000}"/>
    <cellStyle name="20% - アクセント 1 6 2 2" xfId="150" xr:uid="{00000000-0005-0000-0000-00006C000000}"/>
    <cellStyle name="20% - アクセント 1 6 2 3" xfId="151" xr:uid="{00000000-0005-0000-0000-00006D000000}"/>
    <cellStyle name="20% - アクセント 1 6 2 4" xfId="152" xr:uid="{00000000-0005-0000-0000-00006E000000}"/>
    <cellStyle name="20% - アクセント 1 6 3" xfId="153" xr:uid="{00000000-0005-0000-0000-00006F000000}"/>
    <cellStyle name="20% - アクセント 1 6 3 2" xfId="154" xr:uid="{00000000-0005-0000-0000-000070000000}"/>
    <cellStyle name="20% - アクセント 1 6 3 3" xfId="155" xr:uid="{00000000-0005-0000-0000-000071000000}"/>
    <cellStyle name="20% - アクセント 1 6 3 4" xfId="156" xr:uid="{00000000-0005-0000-0000-000072000000}"/>
    <cellStyle name="20% - アクセント 1 6 4" xfId="157" xr:uid="{00000000-0005-0000-0000-000073000000}"/>
    <cellStyle name="20% - アクセント 1 6 5" xfId="158" xr:uid="{00000000-0005-0000-0000-000074000000}"/>
    <cellStyle name="20% - アクセント 1 6 6" xfId="159" xr:uid="{00000000-0005-0000-0000-000075000000}"/>
    <cellStyle name="20% - アクセント 1 6_Monthly Segment Financial Statements_20091030" xfId="160" xr:uid="{00000000-0005-0000-0000-000076000000}"/>
    <cellStyle name="20% - アクセント 1 7" xfId="161" xr:uid="{00000000-0005-0000-0000-000077000000}"/>
    <cellStyle name="20% - アクセント 1 7 2" xfId="162" xr:uid="{00000000-0005-0000-0000-000078000000}"/>
    <cellStyle name="20% - アクセント 1 7 2 2" xfId="163" xr:uid="{00000000-0005-0000-0000-000079000000}"/>
    <cellStyle name="20% - アクセント 1 7 2 3" xfId="164" xr:uid="{00000000-0005-0000-0000-00007A000000}"/>
    <cellStyle name="20% - アクセント 1 7 2 4" xfId="165" xr:uid="{00000000-0005-0000-0000-00007B000000}"/>
    <cellStyle name="20% - アクセント 1 7 3" xfId="166" xr:uid="{00000000-0005-0000-0000-00007C000000}"/>
    <cellStyle name="20% - アクセント 1 7 3 2" xfId="167" xr:uid="{00000000-0005-0000-0000-00007D000000}"/>
    <cellStyle name="20% - アクセント 1 7 3 3" xfId="168" xr:uid="{00000000-0005-0000-0000-00007E000000}"/>
    <cellStyle name="20% - アクセント 1 7 3 4" xfId="169" xr:uid="{00000000-0005-0000-0000-00007F000000}"/>
    <cellStyle name="20% - アクセント 1 7 4" xfId="170" xr:uid="{00000000-0005-0000-0000-000080000000}"/>
    <cellStyle name="20% - アクセント 1 7 5" xfId="171" xr:uid="{00000000-0005-0000-0000-000081000000}"/>
    <cellStyle name="20% - アクセント 1 7 6" xfId="172" xr:uid="{00000000-0005-0000-0000-000082000000}"/>
    <cellStyle name="20% - アクセント 1 7_Monthly Segment Financial Statements_20091030" xfId="173" xr:uid="{00000000-0005-0000-0000-000083000000}"/>
    <cellStyle name="20% - アクセント 1 8" xfId="174" xr:uid="{00000000-0005-0000-0000-000084000000}"/>
    <cellStyle name="20% - アクセント 1 8 2" xfId="175" xr:uid="{00000000-0005-0000-0000-000085000000}"/>
    <cellStyle name="20% - アクセント 1 8 2 2" xfId="176" xr:uid="{00000000-0005-0000-0000-000086000000}"/>
    <cellStyle name="20% - アクセント 1 8 2 3" xfId="177" xr:uid="{00000000-0005-0000-0000-000087000000}"/>
    <cellStyle name="20% - アクセント 1 8 2 4" xfId="178" xr:uid="{00000000-0005-0000-0000-000088000000}"/>
    <cellStyle name="20% - アクセント 1 8 3" xfId="179" xr:uid="{00000000-0005-0000-0000-000089000000}"/>
    <cellStyle name="20% - アクセント 1 8 3 2" xfId="180" xr:uid="{00000000-0005-0000-0000-00008A000000}"/>
    <cellStyle name="20% - アクセント 1 8 3 3" xfId="181" xr:uid="{00000000-0005-0000-0000-00008B000000}"/>
    <cellStyle name="20% - アクセント 1 8 3 4" xfId="182" xr:uid="{00000000-0005-0000-0000-00008C000000}"/>
    <cellStyle name="20% - アクセント 1 8 4" xfId="183" xr:uid="{00000000-0005-0000-0000-00008D000000}"/>
    <cellStyle name="20% - アクセント 1 8 5" xfId="184" xr:uid="{00000000-0005-0000-0000-00008E000000}"/>
    <cellStyle name="20% - アクセント 1 8 6" xfId="185" xr:uid="{00000000-0005-0000-0000-00008F000000}"/>
    <cellStyle name="20% - アクセント 1 8_Monthly Segment Financial Statements_20091030" xfId="186" xr:uid="{00000000-0005-0000-0000-000090000000}"/>
    <cellStyle name="20% - アクセント 1 9" xfId="187" xr:uid="{00000000-0005-0000-0000-000091000000}"/>
    <cellStyle name="20% - アクセント 1 9 2" xfId="188" xr:uid="{00000000-0005-0000-0000-000092000000}"/>
    <cellStyle name="20% - アクセント 1 9 2 2" xfId="189" xr:uid="{00000000-0005-0000-0000-000093000000}"/>
    <cellStyle name="20% - アクセント 1 9 2 3" xfId="190" xr:uid="{00000000-0005-0000-0000-000094000000}"/>
    <cellStyle name="20% - アクセント 1 9 2 4" xfId="191" xr:uid="{00000000-0005-0000-0000-000095000000}"/>
    <cellStyle name="20% - アクセント 1 9 3" xfId="192" xr:uid="{00000000-0005-0000-0000-000096000000}"/>
    <cellStyle name="20% - アクセント 1 9 3 2" xfId="193" xr:uid="{00000000-0005-0000-0000-000097000000}"/>
    <cellStyle name="20% - アクセント 1 9 3 3" xfId="194" xr:uid="{00000000-0005-0000-0000-000098000000}"/>
    <cellStyle name="20% - アクセント 1 9 3 4" xfId="195" xr:uid="{00000000-0005-0000-0000-000099000000}"/>
    <cellStyle name="20% - アクセント 1 9 4" xfId="196" xr:uid="{00000000-0005-0000-0000-00009A000000}"/>
    <cellStyle name="20% - アクセント 1 9 5" xfId="197" xr:uid="{00000000-0005-0000-0000-00009B000000}"/>
    <cellStyle name="20% - アクセント 1 9 6" xfId="198" xr:uid="{00000000-0005-0000-0000-00009C000000}"/>
    <cellStyle name="20% - アクセント 1 9_Monthly Segment Financial Statements_20091030" xfId="199" xr:uid="{00000000-0005-0000-0000-00009D000000}"/>
    <cellStyle name="20% - アクセント 2 10" xfId="200" xr:uid="{00000000-0005-0000-0000-00009E000000}"/>
    <cellStyle name="20% - アクセント 2 10 2" xfId="201" xr:uid="{00000000-0005-0000-0000-00009F000000}"/>
    <cellStyle name="20% - アクセント 2 10 2 2" xfId="202" xr:uid="{00000000-0005-0000-0000-0000A0000000}"/>
    <cellStyle name="20% - アクセント 2 10 2 3" xfId="203" xr:uid="{00000000-0005-0000-0000-0000A1000000}"/>
    <cellStyle name="20% - アクセント 2 10 2 4" xfId="204" xr:uid="{00000000-0005-0000-0000-0000A2000000}"/>
    <cellStyle name="20% - アクセント 2 10 3" xfId="205" xr:uid="{00000000-0005-0000-0000-0000A3000000}"/>
    <cellStyle name="20% - アクセント 2 10 3 2" xfId="206" xr:uid="{00000000-0005-0000-0000-0000A4000000}"/>
    <cellStyle name="20% - アクセント 2 10 3 3" xfId="207" xr:uid="{00000000-0005-0000-0000-0000A5000000}"/>
    <cellStyle name="20% - アクセント 2 10 3 4" xfId="208" xr:uid="{00000000-0005-0000-0000-0000A6000000}"/>
    <cellStyle name="20% - アクセント 2 10 4" xfId="209" xr:uid="{00000000-0005-0000-0000-0000A7000000}"/>
    <cellStyle name="20% - アクセント 2 10 5" xfId="210" xr:uid="{00000000-0005-0000-0000-0000A8000000}"/>
    <cellStyle name="20% - アクセント 2 10 6" xfId="211" xr:uid="{00000000-0005-0000-0000-0000A9000000}"/>
    <cellStyle name="20% - アクセント 2 10_Monthly Segment Financial Statements_20091030" xfId="212" xr:uid="{00000000-0005-0000-0000-0000AA000000}"/>
    <cellStyle name="20% - アクセント 2 11" xfId="213" xr:uid="{00000000-0005-0000-0000-0000AB000000}"/>
    <cellStyle name="20% - アクセント 2 11 2" xfId="214" xr:uid="{00000000-0005-0000-0000-0000AC000000}"/>
    <cellStyle name="20% - アクセント 2 11 2 2" xfId="215" xr:uid="{00000000-0005-0000-0000-0000AD000000}"/>
    <cellStyle name="20% - アクセント 2 11 2 3" xfId="216" xr:uid="{00000000-0005-0000-0000-0000AE000000}"/>
    <cellStyle name="20% - アクセント 2 11 2 4" xfId="217" xr:uid="{00000000-0005-0000-0000-0000AF000000}"/>
    <cellStyle name="20% - アクセント 2 11 3" xfId="218" xr:uid="{00000000-0005-0000-0000-0000B0000000}"/>
    <cellStyle name="20% - アクセント 2 11 3 2" xfId="219" xr:uid="{00000000-0005-0000-0000-0000B1000000}"/>
    <cellStyle name="20% - アクセント 2 11 3 3" xfId="220" xr:uid="{00000000-0005-0000-0000-0000B2000000}"/>
    <cellStyle name="20% - アクセント 2 11 3 4" xfId="221" xr:uid="{00000000-0005-0000-0000-0000B3000000}"/>
    <cellStyle name="20% - アクセント 2 11 4" xfId="222" xr:uid="{00000000-0005-0000-0000-0000B4000000}"/>
    <cellStyle name="20% - アクセント 2 11 5" xfId="223" xr:uid="{00000000-0005-0000-0000-0000B5000000}"/>
    <cellStyle name="20% - アクセント 2 11 6" xfId="224" xr:uid="{00000000-0005-0000-0000-0000B6000000}"/>
    <cellStyle name="20% - アクセント 2 11_Monthly Segment Financial Statements_20091030" xfId="225" xr:uid="{00000000-0005-0000-0000-0000B7000000}"/>
    <cellStyle name="20% - アクセント 2 2" xfId="226" xr:uid="{00000000-0005-0000-0000-0000B8000000}"/>
    <cellStyle name="20% - アクセント 2 2 2" xfId="227" xr:uid="{00000000-0005-0000-0000-0000B9000000}"/>
    <cellStyle name="20% - アクセント 2 2 2 2" xfId="228" xr:uid="{00000000-0005-0000-0000-0000BA000000}"/>
    <cellStyle name="20% - アクセント 2 2 2 3" xfId="229" xr:uid="{00000000-0005-0000-0000-0000BB000000}"/>
    <cellStyle name="20% - アクセント 2 2 2 4" xfId="230" xr:uid="{00000000-0005-0000-0000-0000BC000000}"/>
    <cellStyle name="20% - アクセント 2 2 3" xfId="231" xr:uid="{00000000-0005-0000-0000-0000BD000000}"/>
    <cellStyle name="20% - アクセント 2 2 3 2" xfId="232" xr:uid="{00000000-0005-0000-0000-0000BE000000}"/>
    <cellStyle name="20% - アクセント 2 2 3 3" xfId="233" xr:uid="{00000000-0005-0000-0000-0000BF000000}"/>
    <cellStyle name="20% - アクセント 2 2 3 4" xfId="234" xr:uid="{00000000-0005-0000-0000-0000C0000000}"/>
    <cellStyle name="20% - アクセント 2 2 4" xfId="235" xr:uid="{00000000-0005-0000-0000-0000C1000000}"/>
    <cellStyle name="20% - アクセント 2 2 5" xfId="236" xr:uid="{00000000-0005-0000-0000-0000C2000000}"/>
    <cellStyle name="20% - アクセント 2 2 6" xfId="237" xr:uid="{00000000-0005-0000-0000-0000C3000000}"/>
    <cellStyle name="20% - アクセント 2 2_Monthly Segment Financial Statements_20091030" xfId="238" xr:uid="{00000000-0005-0000-0000-0000C4000000}"/>
    <cellStyle name="20% - アクセント 2 3" xfId="239" xr:uid="{00000000-0005-0000-0000-0000C5000000}"/>
    <cellStyle name="20% - アクセント 2 3 2" xfId="240" xr:uid="{00000000-0005-0000-0000-0000C6000000}"/>
    <cellStyle name="20% - アクセント 2 3 2 2" xfId="241" xr:uid="{00000000-0005-0000-0000-0000C7000000}"/>
    <cellStyle name="20% - アクセント 2 3 2 3" xfId="242" xr:uid="{00000000-0005-0000-0000-0000C8000000}"/>
    <cellStyle name="20% - アクセント 2 3 2 4" xfId="243" xr:uid="{00000000-0005-0000-0000-0000C9000000}"/>
    <cellStyle name="20% - アクセント 2 3 3" xfId="244" xr:uid="{00000000-0005-0000-0000-0000CA000000}"/>
    <cellStyle name="20% - アクセント 2 3 3 2" xfId="245" xr:uid="{00000000-0005-0000-0000-0000CB000000}"/>
    <cellStyle name="20% - アクセント 2 3 3 3" xfId="246" xr:uid="{00000000-0005-0000-0000-0000CC000000}"/>
    <cellStyle name="20% - アクセント 2 3 3 4" xfId="247" xr:uid="{00000000-0005-0000-0000-0000CD000000}"/>
    <cellStyle name="20% - アクセント 2 3 4" xfId="248" xr:uid="{00000000-0005-0000-0000-0000CE000000}"/>
    <cellStyle name="20% - アクセント 2 3 5" xfId="249" xr:uid="{00000000-0005-0000-0000-0000CF000000}"/>
    <cellStyle name="20% - アクセント 2 3 6" xfId="250" xr:uid="{00000000-0005-0000-0000-0000D0000000}"/>
    <cellStyle name="20% - アクセント 2 3_Monthly Segment Financial Statements_20091030" xfId="251" xr:uid="{00000000-0005-0000-0000-0000D1000000}"/>
    <cellStyle name="20% - アクセント 2 4" xfId="252" xr:uid="{00000000-0005-0000-0000-0000D2000000}"/>
    <cellStyle name="20% - アクセント 2 4 2" xfId="253" xr:uid="{00000000-0005-0000-0000-0000D3000000}"/>
    <cellStyle name="20% - アクセント 2 4 2 2" xfId="254" xr:uid="{00000000-0005-0000-0000-0000D4000000}"/>
    <cellStyle name="20% - アクセント 2 4 2 3" xfId="255" xr:uid="{00000000-0005-0000-0000-0000D5000000}"/>
    <cellStyle name="20% - アクセント 2 4 2 4" xfId="256" xr:uid="{00000000-0005-0000-0000-0000D6000000}"/>
    <cellStyle name="20% - アクセント 2 4 3" xfId="257" xr:uid="{00000000-0005-0000-0000-0000D7000000}"/>
    <cellStyle name="20% - アクセント 2 4 3 2" xfId="258" xr:uid="{00000000-0005-0000-0000-0000D8000000}"/>
    <cellStyle name="20% - アクセント 2 4 3 3" xfId="259" xr:uid="{00000000-0005-0000-0000-0000D9000000}"/>
    <cellStyle name="20% - アクセント 2 4 3 4" xfId="260" xr:uid="{00000000-0005-0000-0000-0000DA000000}"/>
    <cellStyle name="20% - アクセント 2 4 4" xfId="261" xr:uid="{00000000-0005-0000-0000-0000DB000000}"/>
    <cellStyle name="20% - アクセント 2 4 5" xfId="262" xr:uid="{00000000-0005-0000-0000-0000DC000000}"/>
    <cellStyle name="20% - アクセント 2 4 6" xfId="263" xr:uid="{00000000-0005-0000-0000-0000DD000000}"/>
    <cellStyle name="20% - アクセント 2 4_Monthly Segment Financial Statements_20091030" xfId="264" xr:uid="{00000000-0005-0000-0000-0000DE000000}"/>
    <cellStyle name="20% - アクセント 2 5" xfId="265" xr:uid="{00000000-0005-0000-0000-0000DF000000}"/>
    <cellStyle name="20% - アクセント 2 5 2" xfId="266" xr:uid="{00000000-0005-0000-0000-0000E0000000}"/>
    <cellStyle name="20% - アクセント 2 5 2 2" xfId="267" xr:uid="{00000000-0005-0000-0000-0000E1000000}"/>
    <cellStyle name="20% - アクセント 2 5 2 3" xfId="268" xr:uid="{00000000-0005-0000-0000-0000E2000000}"/>
    <cellStyle name="20% - アクセント 2 5 2 4" xfId="269" xr:uid="{00000000-0005-0000-0000-0000E3000000}"/>
    <cellStyle name="20% - アクセント 2 5 3" xfId="270" xr:uid="{00000000-0005-0000-0000-0000E4000000}"/>
    <cellStyle name="20% - アクセント 2 5 3 2" xfId="271" xr:uid="{00000000-0005-0000-0000-0000E5000000}"/>
    <cellStyle name="20% - アクセント 2 5 3 3" xfId="272" xr:uid="{00000000-0005-0000-0000-0000E6000000}"/>
    <cellStyle name="20% - アクセント 2 5 3 4" xfId="273" xr:uid="{00000000-0005-0000-0000-0000E7000000}"/>
    <cellStyle name="20% - アクセント 2 5 4" xfId="274" xr:uid="{00000000-0005-0000-0000-0000E8000000}"/>
    <cellStyle name="20% - アクセント 2 5 5" xfId="275" xr:uid="{00000000-0005-0000-0000-0000E9000000}"/>
    <cellStyle name="20% - アクセント 2 5 6" xfId="276" xr:uid="{00000000-0005-0000-0000-0000EA000000}"/>
    <cellStyle name="20% - アクセント 2 5_Monthly Segment Financial Statements_20091030" xfId="277" xr:uid="{00000000-0005-0000-0000-0000EB000000}"/>
    <cellStyle name="20% - アクセント 2 6" xfId="278" xr:uid="{00000000-0005-0000-0000-0000EC000000}"/>
    <cellStyle name="20% - アクセント 2 6 2" xfId="279" xr:uid="{00000000-0005-0000-0000-0000ED000000}"/>
    <cellStyle name="20% - アクセント 2 6 2 2" xfId="280" xr:uid="{00000000-0005-0000-0000-0000EE000000}"/>
    <cellStyle name="20% - アクセント 2 6 2 3" xfId="281" xr:uid="{00000000-0005-0000-0000-0000EF000000}"/>
    <cellStyle name="20% - アクセント 2 6 2 4" xfId="282" xr:uid="{00000000-0005-0000-0000-0000F0000000}"/>
    <cellStyle name="20% - アクセント 2 6 3" xfId="283" xr:uid="{00000000-0005-0000-0000-0000F1000000}"/>
    <cellStyle name="20% - アクセント 2 6 3 2" xfId="284" xr:uid="{00000000-0005-0000-0000-0000F2000000}"/>
    <cellStyle name="20% - アクセント 2 6 3 3" xfId="285" xr:uid="{00000000-0005-0000-0000-0000F3000000}"/>
    <cellStyle name="20% - アクセント 2 6 3 4" xfId="286" xr:uid="{00000000-0005-0000-0000-0000F4000000}"/>
    <cellStyle name="20% - アクセント 2 6 4" xfId="287" xr:uid="{00000000-0005-0000-0000-0000F5000000}"/>
    <cellStyle name="20% - アクセント 2 6 5" xfId="288" xr:uid="{00000000-0005-0000-0000-0000F6000000}"/>
    <cellStyle name="20% - アクセント 2 6 6" xfId="289" xr:uid="{00000000-0005-0000-0000-0000F7000000}"/>
    <cellStyle name="20% - アクセント 2 6_Monthly Segment Financial Statements_20091030" xfId="290" xr:uid="{00000000-0005-0000-0000-0000F8000000}"/>
    <cellStyle name="20% - アクセント 2 7" xfId="291" xr:uid="{00000000-0005-0000-0000-0000F9000000}"/>
    <cellStyle name="20% - アクセント 2 7 2" xfId="292" xr:uid="{00000000-0005-0000-0000-0000FA000000}"/>
    <cellStyle name="20% - アクセント 2 7 2 2" xfId="293" xr:uid="{00000000-0005-0000-0000-0000FB000000}"/>
    <cellStyle name="20% - アクセント 2 7 2 3" xfId="294" xr:uid="{00000000-0005-0000-0000-0000FC000000}"/>
    <cellStyle name="20% - アクセント 2 7 2 4" xfId="295" xr:uid="{00000000-0005-0000-0000-0000FD000000}"/>
    <cellStyle name="20% - アクセント 2 7 3" xfId="296" xr:uid="{00000000-0005-0000-0000-0000FE000000}"/>
    <cellStyle name="20% - アクセント 2 7 3 2" xfId="297" xr:uid="{00000000-0005-0000-0000-0000FF000000}"/>
    <cellStyle name="20% - アクセント 2 7 3 3" xfId="298" xr:uid="{00000000-0005-0000-0000-000000010000}"/>
    <cellStyle name="20% - アクセント 2 7 3 4" xfId="299" xr:uid="{00000000-0005-0000-0000-000001010000}"/>
    <cellStyle name="20% - アクセント 2 7 4" xfId="300" xr:uid="{00000000-0005-0000-0000-000002010000}"/>
    <cellStyle name="20% - アクセント 2 7 5" xfId="301" xr:uid="{00000000-0005-0000-0000-000003010000}"/>
    <cellStyle name="20% - アクセント 2 7 6" xfId="302" xr:uid="{00000000-0005-0000-0000-000004010000}"/>
    <cellStyle name="20% - アクセント 2 7_Monthly Segment Financial Statements_20091030" xfId="303" xr:uid="{00000000-0005-0000-0000-000005010000}"/>
    <cellStyle name="20% - アクセント 2 8" xfId="304" xr:uid="{00000000-0005-0000-0000-000006010000}"/>
    <cellStyle name="20% - アクセント 2 8 2" xfId="305" xr:uid="{00000000-0005-0000-0000-000007010000}"/>
    <cellStyle name="20% - アクセント 2 8 2 2" xfId="306" xr:uid="{00000000-0005-0000-0000-000008010000}"/>
    <cellStyle name="20% - アクセント 2 8 2 3" xfId="307" xr:uid="{00000000-0005-0000-0000-000009010000}"/>
    <cellStyle name="20% - アクセント 2 8 2 4" xfId="308" xr:uid="{00000000-0005-0000-0000-00000A010000}"/>
    <cellStyle name="20% - アクセント 2 8 3" xfId="309" xr:uid="{00000000-0005-0000-0000-00000B010000}"/>
    <cellStyle name="20% - アクセント 2 8 3 2" xfId="310" xr:uid="{00000000-0005-0000-0000-00000C010000}"/>
    <cellStyle name="20% - アクセント 2 8 3 3" xfId="311" xr:uid="{00000000-0005-0000-0000-00000D010000}"/>
    <cellStyle name="20% - アクセント 2 8 3 4" xfId="312" xr:uid="{00000000-0005-0000-0000-00000E010000}"/>
    <cellStyle name="20% - アクセント 2 8 4" xfId="313" xr:uid="{00000000-0005-0000-0000-00000F010000}"/>
    <cellStyle name="20% - アクセント 2 8 5" xfId="314" xr:uid="{00000000-0005-0000-0000-000010010000}"/>
    <cellStyle name="20% - アクセント 2 8 6" xfId="315" xr:uid="{00000000-0005-0000-0000-000011010000}"/>
    <cellStyle name="20% - アクセント 2 8_Monthly Segment Financial Statements_20091030" xfId="316" xr:uid="{00000000-0005-0000-0000-000012010000}"/>
    <cellStyle name="20% - アクセント 2 9" xfId="317" xr:uid="{00000000-0005-0000-0000-000013010000}"/>
    <cellStyle name="20% - アクセント 2 9 2" xfId="318" xr:uid="{00000000-0005-0000-0000-000014010000}"/>
    <cellStyle name="20% - アクセント 2 9 2 2" xfId="319" xr:uid="{00000000-0005-0000-0000-000015010000}"/>
    <cellStyle name="20% - アクセント 2 9 2 3" xfId="320" xr:uid="{00000000-0005-0000-0000-000016010000}"/>
    <cellStyle name="20% - アクセント 2 9 2 4" xfId="321" xr:uid="{00000000-0005-0000-0000-000017010000}"/>
    <cellStyle name="20% - アクセント 2 9 3" xfId="322" xr:uid="{00000000-0005-0000-0000-000018010000}"/>
    <cellStyle name="20% - アクセント 2 9 3 2" xfId="323" xr:uid="{00000000-0005-0000-0000-000019010000}"/>
    <cellStyle name="20% - アクセント 2 9 3 3" xfId="324" xr:uid="{00000000-0005-0000-0000-00001A010000}"/>
    <cellStyle name="20% - アクセント 2 9 3 4" xfId="325" xr:uid="{00000000-0005-0000-0000-00001B010000}"/>
    <cellStyle name="20% - アクセント 2 9 4" xfId="326" xr:uid="{00000000-0005-0000-0000-00001C010000}"/>
    <cellStyle name="20% - アクセント 2 9 5" xfId="327" xr:uid="{00000000-0005-0000-0000-00001D010000}"/>
    <cellStyle name="20% - アクセント 2 9 6" xfId="328" xr:uid="{00000000-0005-0000-0000-00001E010000}"/>
    <cellStyle name="20% - アクセント 2 9_Monthly Segment Financial Statements_20091030" xfId="329" xr:uid="{00000000-0005-0000-0000-00001F010000}"/>
    <cellStyle name="20% - アクセント 3 10" xfId="330" xr:uid="{00000000-0005-0000-0000-000020010000}"/>
    <cellStyle name="20% - アクセント 3 10 2" xfId="331" xr:uid="{00000000-0005-0000-0000-000021010000}"/>
    <cellStyle name="20% - アクセント 3 10 2 2" xfId="332" xr:uid="{00000000-0005-0000-0000-000022010000}"/>
    <cellStyle name="20% - アクセント 3 10 2 3" xfId="333" xr:uid="{00000000-0005-0000-0000-000023010000}"/>
    <cellStyle name="20% - アクセント 3 10 2 4" xfId="334" xr:uid="{00000000-0005-0000-0000-000024010000}"/>
    <cellStyle name="20% - アクセント 3 10 3" xfId="335" xr:uid="{00000000-0005-0000-0000-000025010000}"/>
    <cellStyle name="20% - アクセント 3 10 3 2" xfId="336" xr:uid="{00000000-0005-0000-0000-000026010000}"/>
    <cellStyle name="20% - アクセント 3 10 3 3" xfId="337" xr:uid="{00000000-0005-0000-0000-000027010000}"/>
    <cellStyle name="20% - アクセント 3 10 3 4" xfId="338" xr:uid="{00000000-0005-0000-0000-000028010000}"/>
    <cellStyle name="20% - アクセント 3 10 4" xfId="339" xr:uid="{00000000-0005-0000-0000-000029010000}"/>
    <cellStyle name="20% - アクセント 3 10 5" xfId="340" xr:uid="{00000000-0005-0000-0000-00002A010000}"/>
    <cellStyle name="20% - アクセント 3 10 6" xfId="341" xr:uid="{00000000-0005-0000-0000-00002B010000}"/>
    <cellStyle name="20% - アクセント 3 10_Monthly Segment Financial Statements_20091030" xfId="342" xr:uid="{00000000-0005-0000-0000-00002C010000}"/>
    <cellStyle name="20% - アクセント 3 11" xfId="343" xr:uid="{00000000-0005-0000-0000-00002D010000}"/>
    <cellStyle name="20% - アクセント 3 11 2" xfId="344" xr:uid="{00000000-0005-0000-0000-00002E010000}"/>
    <cellStyle name="20% - アクセント 3 11 2 2" xfId="345" xr:uid="{00000000-0005-0000-0000-00002F010000}"/>
    <cellStyle name="20% - アクセント 3 11 2 3" xfId="346" xr:uid="{00000000-0005-0000-0000-000030010000}"/>
    <cellStyle name="20% - アクセント 3 11 2 4" xfId="347" xr:uid="{00000000-0005-0000-0000-000031010000}"/>
    <cellStyle name="20% - アクセント 3 11 3" xfId="348" xr:uid="{00000000-0005-0000-0000-000032010000}"/>
    <cellStyle name="20% - アクセント 3 11 3 2" xfId="349" xr:uid="{00000000-0005-0000-0000-000033010000}"/>
    <cellStyle name="20% - アクセント 3 11 3 3" xfId="350" xr:uid="{00000000-0005-0000-0000-000034010000}"/>
    <cellStyle name="20% - アクセント 3 11 3 4" xfId="351" xr:uid="{00000000-0005-0000-0000-000035010000}"/>
    <cellStyle name="20% - アクセント 3 11 4" xfId="352" xr:uid="{00000000-0005-0000-0000-000036010000}"/>
    <cellStyle name="20% - アクセント 3 11 5" xfId="353" xr:uid="{00000000-0005-0000-0000-000037010000}"/>
    <cellStyle name="20% - アクセント 3 11 6" xfId="354" xr:uid="{00000000-0005-0000-0000-000038010000}"/>
    <cellStyle name="20% - アクセント 3 11_Monthly Segment Financial Statements_20091030" xfId="355" xr:uid="{00000000-0005-0000-0000-000039010000}"/>
    <cellStyle name="20% - アクセント 3 2" xfId="356" xr:uid="{00000000-0005-0000-0000-00003A010000}"/>
    <cellStyle name="20% - アクセント 3 2 2" xfId="357" xr:uid="{00000000-0005-0000-0000-00003B010000}"/>
    <cellStyle name="20% - アクセント 3 2 2 2" xfId="358" xr:uid="{00000000-0005-0000-0000-00003C010000}"/>
    <cellStyle name="20% - アクセント 3 2 2 3" xfId="359" xr:uid="{00000000-0005-0000-0000-00003D010000}"/>
    <cellStyle name="20% - アクセント 3 2 2 4" xfId="360" xr:uid="{00000000-0005-0000-0000-00003E010000}"/>
    <cellStyle name="20% - アクセント 3 2 3" xfId="361" xr:uid="{00000000-0005-0000-0000-00003F010000}"/>
    <cellStyle name="20% - アクセント 3 2 3 2" xfId="362" xr:uid="{00000000-0005-0000-0000-000040010000}"/>
    <cellStyle name="20% - アクセント 3 2 3 3" xfId="363" xr:uid="{00000000-0005-0000-0000-000041010000}"/>
    <cellStyle name="20% - アクセント 3 2 3 4" xfId="364" xr:uid="{00000000-0005-0000-0000-000042010000}"/>
    <cellStyle name="20% - アクセント 3 2 4" xfId="365" xr:uid="{00000000-0005-0000-0000-000043010000}"/>
    <cellStyle name="20% - アクセント 3 2 5" xfId="366" xr:uid="{00000000-0005-0000-0000-000044010000}"/>
    <cellStyle name="20% - アクセント 3 2 6" xfId="367" xr:uid="{00000000-0005-0000-0000-000045010000}"/>
    <cellStyle name="20% - アクセント 3 2_Monthly Segment Financial Statements_20091030" xfId="368" xr:uid="{00000000-0005-0000-0000-000046010000}"/>
    <cellStyle name="20% - アクセント 3 3" xfId="369" xr:uid="{00000000-0005-0000-0000-000047010000}"/>
    <cellStyle name="20% - アクセント 3 3 2" xfId="370" xr:uid="{00000000-0005-0000-0000-000048010000}"/>
    <cellStyle name="20% - アクセント 3 3 2 2" xfId="371" xr:uid="{00000000-0005-0000-0000-000049010000}"/>
    <cellStyle name="20% - アクセント 3 3 2 3" xfId="372" xr:uid="{00000000-0005-0000-0000-00004A010000}"/>
    <cellStyle name="20% - アクセント 3 3 2 4" xfId="373" xr:uid="{00000000-0005-0000-0000-00004B010000}"/>
    <cellStyle name="20% - アクセント 3 3 3" xfId="374" xr:uid="{00000000-0005-0000-0000-00004C010000}"/>
    <cellStyle name="20% - アクセント 3 3 3 2" xfId="375" xr:uid="{00000000-0005-0000-0000-00004D010000}"/>
    <cellStyle name="20% - アクセント 3 3 3 3" xfId="376" xr:uid="{00000000-0005-0000-0000-00004E010000}"/>
    <cellStyle name="20% - アクセント 3 3 3 4" xfId="377" xr:uid="{00000000-0005-0000-0000-00004F010000}"/>
    <cellStyle name="20% - アクセント 3 3 4" xfId="378" xr:uid="{00000000-0005-0000-0000-000050010000}"/>
    <cellStyle name="20% - アクセント 3 3 5" xfId="379" xr:uid="{00000000-0005-0000-0000-000051010000}"/>
    <cellStyle name="20% - アクセント 3 3 6" xfId="380" xr:uid="{00000000-0005-0000-0000-000052010000}"/>
    <cellStyle name="20% - アクセント 3 3_Monthly Segment Financial Statements_20091030" xfId="381" xr:uid="{00000000-0005-0000-0000-000053010000}"/>
    <cellStyle name="20% - アクセント 3 4" xfId="382" xr:uid="{00000000-0005-0000-0000-000054010000}"/>
    <cellStyle name="20% - アクセント 3 4 2" xfId="383" xr:uid="{00000000-0005-0000-0000-000055010000}"/>
    <cellStyle name="20% - アクセント 3 4 2 2" xfId="384" xr:uid="{00000000-0005-0000-0000-000056010000}"/>
    <cellStyle name="20% - アクセント 3 4 2 3" xfId="385" xr:uid="{00000000-0005-0000-0000-000057010000}"/>
    <cellStyle name="20% - アクセント 3 4 2 4" xfId="386" xr:uid="{00000000-0005-0000-0000-000058010000}"/>
    <cellStyle name="20% - アクセント 3 4 3" xfId="387" xr:uid="{00000000-0005-0000-0000-000059010000}"/>
    <cellStyle name="20% - アクセント 3 4 3 2" xfId="388" xr:uid="{00000000-0005-0000-0000-00005A010000}"/>
    <cellStyle name="20% - アクセント 3 4 3 3" xfId="389" xr:uid="{00000000-0005-0000-0000-00005B010000}"/>
    <cellStyle name="20% - アクセント 3 4 3 4" xfId="390" xr:uid="{00000000-0005-0000-0000-00005C010000}"/>
    <cellStyle name="20% - アクセント 3 4 4" xfId="391" xr:uid="{00000000-0005-0000-0000-00005D010000}"/>
    <cellStyle name="20% - アクセント 3 4 5" xfId="392" xr:uid="{00000000-0005-0000-0000-00005E010000}"/>
    <cellStyle name="20% - アクセント 3 4 6" xfId="393" xr:uid="{00000000-0005-0000-0000-00005F010000}"/>
    <cellStyle name="20% - アクセント 3 4_Monthly Segment Financial Statements_20091030" xfId="394" xr:uid="{00000000-0005-0000-0000-000060010000}"/>
    <cellStyle name="20% - アクセント 3 5" xfId="395" xr:uid="{00000000-0005-0000-0000-000061010000}"/>
    <cellStyle name="20% - アクセント 3 5 2" xfId="396" xr:uid="{00000000-0005-0000-0000-000062010000}"/>
    <cellStyle name="20% - アクセント 3 5 2 2" xfId="397" xr:uid="{00000000-0005-0000-0000-000063010000}"/>
    <cellStyle name="20% - アクセント 3 5 2 3" xfId="398" xr:uid="{00000000-0005-0000-0000-000064010000}"/>
    <cellStyle name="20% - アクセント 3 5 2 4" xfId="399" xr:uid="{00000000-0005-0000-0000-000065010000}"/>
    <cellStyle name="20% - アクセント 3 5 3" xfId="400" xr:uid="{00000000-0005-0000-0000-000066010000}"/>
    <cellStyle name="20% - アクセント 3 5 3 2" xfId="401" xr:uid="{00000000-0005-0000-0000-000067010000}"/>
    <cellStyle name="20% - アクセント 3 5 3 3" xfId="402" xr:uid="{00000000-0005-0000-0000-000068010000}"/>
    <cellStyle name="20% - アクセント 3 5 3 4" xfId="403" xr:uid="{00000000-0005-0000-0000-000069010000}"/>
    <cellStyle name="20% - アクセント 3 5 4" xfId="404" xr:uid="{00000000-0005-0000-0000-00006A010000}"/>
    <cellStyle name="20% - アクセント 3 5 5" xfId="405" xr:uid="{00000000-0005-0000-0000-00006B010000}"/>
    <cellStyle name="20% - アクセント 3 5 6" xfId="406" xr:uid="{00000000-0005-0000-0000-00006C010000}"/>
    <cellStyle name="20% - アクセント 3 5_Monthly Segment Financial Statements_20091030" xfId="407" xr:uid="{00000000-0005-0000-0000-00006D010000}"/>
    <cellStyle name="20% - アクセント 3 6" xfId="408" xr:uid="{00000000-0005-0000-0000-00006E010000}"/>
    <cellStyle name="20% - アクセント 3 6 2" xfId="409" xr:uid="{00000000-0005-0000-0000-00006F010000}"/>
    <cellStyle name="20% - アクセント 3 6 2 2" xfId="410" xr:uid="{00000000-0005-0000-0000-000070010000}"/>
    <cellStyle name="20% - アクセント 3 6 2 3" xfId="411" xr:uid="{00000000-0005-0000-0000-000071010000}"/>
    <cellStyle name="20% - アクセント 3 6 2 4" xfId="412" xr:uid="{00000000-0005-0000-0000-000072010000}"/>
    <cellStyle name="20% - アクセント 3 6 3" xfId="413" xr:uid="{00000000-0005-0000-0000-000073010000}"/>
    <cellStyle name="20% - アクセント 3 6 3 2" xfId="414" xr:uid="{00000000-0005-0000-0000-000074010000}"/>
    <cellStyle name="20% - アクセント 3 6 3 3" xfId="415" xr:uid="{00000000-0005-0000-0000-000075010000}"/>
    <cellStyle name="20% - アクセント 3 6 3 4" xfId="416" xr:uid="{00000000-0005-0000-0000-000076010000}"/>
    <cellStyle name="20% - アクセント 3 6 4" xfId="417" xr:uid="{00000000-0005-0000-0000-000077010000}"/>
    <cellStyle name="20% - アクセント 3 6 5" xfId="418" xr:uid="{00000000-0005-0000-0000-000078010000}"/>
    <cellStyle name="20% - アクセント 3 6 6" xfId="419" xr:uid="{00000000-0005-0000-0000-000079010000}"/>
    <cellStyle name="20% - アクセント 3 6_Monthly Segment Financial Statements_20091030" xfId="420" xr:uid="{00000000-0005-0000-0000-00007A010000}"/>
    <cellStyle name="20% - アクセント 3 7" xfId="421" xr:uid="{00000000-0005-0000-0000-00007B010000}"/>
    <cellStyle name="20% - アクセント 3 7 2" xfId="422" xr:uid="{00000000-0005-0000-0000-00007C010000}"/>
    <cellStyle name="20% - アクセント 3 7 2 2" xfId="423" xr:uid="{00000000-0005-0000-0000-00007D010000}"/>
    <cellStyle name="20% - アクセント 3 7 2 3" xfId="424" xr:uid="{00000000-0005-0000-0000-00007E010000}"/>
    <cellStyle name="20% - アクセント 3 7 2 4" xfId="425" xr:uid="{00000000-0005-0000-0000-00007F010000}"/>
    <cellStyle name="20% - アクセント 3 7 3" xfId="426" xr:uid="{00000000-0005-0000-0000-000080010000}"/>
    <cellStyle name="20% - アクセント 3 7 3 2" xfId="427" xr:uid="{00000000-0005-0000-0000-000081010000}"/>
    <cellStyle name="20% - アクセント 3 7 3 3" xfId="428" xr:uid="{00000000-0005-0000-0000-000082010000}"/>
    <cellStyle name="20% - アクセント 3 7 3 4" xfId="429" xr:uid="{00000000-0005-0000-0000-000083010000}"/>
    <cellStyle name="20% - アクセント 3 7 4" xfId="430" xr:uid="{00000000-0005-0000-0000-000084010000}"/>
    <cellStyle name="20% - アクセント 3 7 5" xfId="431" xr:uid="{00000000-0005-0000-0000-000085010000}"/>
    <cellStyle name="20% - アクセント 3 7 6" xfId="432" xr:uid="{00000000-0005-0000-0000-000086010000}"/>
    <cellStyle name="20% - アクセント 3 7_Monthly Segment Financial Statements_20091030" xfId="433" xr:uid="{00000000-0005-0000-0000-000087010000}"/>
    <cellStyle name="20% - アクセント 3 8" xfId="434" xr:uid="{00000000-0005-0000-0000-000088010000}"/>
    <cellStyle name="20% - アクセント 3 8 2" xfId="435" xr:uid="{00000000-0005-0000-0000-000089010000}"/>
    <cellStyle name="20% - アクセント 3 8 2 2" xfId="436" xr:uid="{00000000-0005-0000-0000-00008A010000}"/>
    <cellStyle name="20% - アクセント 3 8 2 3" xfId="437" xr:uid="{00000000-0005-0000-0000-00008B010000}"/>
    <cellStyle name="20% - アクセント 3 8 2 4" xfId="438" xr:uid="{00000000-0005-0000-0000-00008C010000}"/>
    <cellStyle name="20% - アクセント 3 8 3" xfId="439" xr:uid="{00000000-0005-0000-0000-00008D010000}"/>
    <cellStyle name="20% - アクセント 3 8 3 2" xfId="440" xr:uid="{00000000-0005-0000-0000-00008E010000}"/>
    <cellStyle name="20% - アクセント 3 8 3 3" xfId="441" xr:uid="{00000000-0005-0000-0000-00008F010000}"/>
    <cellStyle name="20% - アクセント 3 8 3 4" xfId="442" xr:uid="{00000000-0005-0000-0000-000090010000}"/>
    <cellStyle name="20% - アクセント 3 8 4" xfId="443" xr:uid="{00000000-0005-0000-0000-000091010000}"/>
    <cellStyle name="20% - アクセント 3 8 5" xfId="444" xr:uid="{00000000-0005-0000-0000-000092010000}"/>
    <cellStyle name="20% - アクセント 3 8 6" xfId="445" xr:uid="{00000000-0005-0000-0000-000093010000}"/>
    <cellStyle name="20% - アクセント 3 8_Monthly Segment Financial Statements_20091030" xfId="446" xr:uid="{00000000-0005-0000-0000-000094010000}"/>
    <cellStyle name="20% - アクセント 3 9" xfId="447" xr:uid="{00000000-0005-0000-0000-000095010000}"/>
    <cellStyle name="20% - アクセント 3 9 2" xfId="448" xr:uid="{00000000-0005-0000-0000-000096010000}"/>
    <cellStyle name="20% - アクセント 3 9 2 2" xfId="449" xr:uid="{00000000-0005-0000-0000-000097010000}"/>
    <cellStyle name="20% - アクセント 3 9 2 3" xfId="450" xr:uid="{00000000-0005-0000-0000-000098010000}"/>
    <cellStyle name="20% - アクセント 3 9 2 4" xfId="451" xr:uid="{00000000-0005-0000-0000-000099010000}"/>
    <cellStyle name="20% - アクセント 3 9 3" xfId="452" xr:uid="{00000000-0005-0000-0000-00009A010000}"/>
    <cellStyle name="20% - アクセント 3 9 3 2" xfId="453" xr:uid="{00000000-0005-0000-0000-00009B010000}"/>
    <cellStyle name="20% - アクセント 3 9 3 3" xfId="454" xr:uid="{00000000-0005-0000-0000-00009C010000}"/>
    <cellStyle name="20% - アクセント 3 9 3 4" xfId="455" xr:uid="{00000000-0005-0000-0000-00009D010000}"/>
    <cellStyle name="20% - アクセント 3 9 4" xfId="456" xr:uid="{00000000-0005-0000-0000-00009E010000}"/>
    <cellStyle name="20% - アクセント 3 9 5" xfId="457" xr:uid="{00000000-0005-0000-0000-00009F010000}"/>
    <cellStyle name="20% - アクセント 3 9 6" xfId="458" xr:uid="{00000000-0005-0000-0000-0000A0010000}"/>
    <cellStyle name="20% - アクセント 3 9_Monthly Segment Financial Statements_20091030" xfId="459" xr:uid="{00000000-0005-0000-0000-0000A1010000}"/>
    <cellStyle name="20% - アクセント 4 10" xfId="460" xr:uid="{00000000-0005-0000-0000-0000A2010000}"/>
    <cellStyle name="20% - アクセント 4 10 2" xfId="461" xr:uid="{00000000-0005-0000-0000-0000A3010000}"/>
    <cellStyle name="20% - アクセント 4 10 2 2" xfId="462" xr:uid="{00000000-0005-0000-0000-0000A4010000}"/>
    <cellStyle name="20% - アクセント 4 10 2 3" xfId="463" xr:uid="{00000000-0005-0000-0000-0000A5010000}"/>
    <cellStyle name="20% - アクセント 4 10 2 4" xfId="464" xr:uid="{00000000-0005-0000-0000-0000A6010000}"/>
    <cellStyle name="20% - アクセント 4 10 3" xfId="465" xr:uid="{00000000-0005-0000-0000-0000A7010000}"/>
    <cellStyle name="20% - アクセント 4 10 3 2" xfId="466" xr:uid="{00000000-0005-0000-0000-0000A8010000}"/>
    <cellStyle name="20% - アクセント 4 10 3 3" xfId="467" xr:uid="{00000000-0005-0000-0000-0000A9010000}"/>
    <cellStyle name="20% - アクセント 4 10 3 4" xfId="468" xr:uid="{00000000-0005-0000-0000-0000AA010000}"/>
    <cellStyle name="20% - アクセント 4 10 4" xfId="469" xr:uid="{00000000-0005-0000-0000-0000AB010000}"/>
    <cellStyle name="20% - アクセント 4 10 5" xfId="470" xr:uid="{00000000-0005-0000-0000-0000AC010000}"/>
    <cellStyle name="20% - アクセント 4 10 6" xfId="471" xr:uid="{00000000-0005-0000-0000-0000AD010000}"/>
    <cellStyle name="20% - アクセント 4 10_Monthly Segment Financial Statements_20091030" xfId="472" xr:uid="{00000000-0005-0000-0000-0000AE010000}"/>
    <cellStyle name="20% - アクセント 4 11" xfId="473" xr:uid="{00000000-0005-0000-0000-0000AF010000}"/>
    <cellStyle name="20% - アクセント 4 11 2" xfId="474" xr:uid="{00000000-0005-0000-0000-0000B0010000}"/>
    <cellStyle name="20% - アクセント 4 11 2 2" xfId="475" xr:uid="{00000000-0005-0000-0000-0000B1010000}"/>
    <cellStyle name="20% - アクセント 4 11 2 3" xfId="476" xr:uid="{00000000-0005-0000-0000-0000B2010000}"/>
    <cellStyle name="20% - アクセント 4 11 2 4" xfId="477" xr:uid="{00000000-0005-0000-0000-0000B3010000}"/>
    <cellStyle name="20% - アクセント 4 11 3" xfId="478" xr:uid="{00000000-0005-0000-0000-0000B4010000}"/>
    <cellStyle name="20% - アクセント 4 11 3 2" xfId="479" xr:uid="{00000000-0005-0000-0000-0000B5010000}"/>
    <cellStyle name="20% - アクセント 4 11 3 3" xfId="480" xr:uid="{00000000-0005-0000-0000-0000B6010000}"/>
    <cellStyle name="20% - アクセント 4 11 3 4" xfId="481" xr:uid="{00000000-0005-0000-0000-0000B7010000}"/>
    <cellStyle name="20% - アクセント 4 11 4" xfId="482" xr:uid="{00000000-0005-0000-0000-0000B8010000}"/>
    <cellStyle name="20% - アクセント 4 11 5" xfId="483" xr:uid="{00000000-0005-0000-0000-0000B9010000}"/>
    <cellStyle name="20% - アクセント 4 11 6" xfId="484" xr:uid="{00000000-0005-0000-0000-0000BA010000}"/>
    <cellStyle name="20% - アクセント 4 11_Monthly Segment Financial Statements_20091030" xfId="485" xr:uid="{00000000-0005-0000-0000-0000BB010000}"/>
    <cellStyle name="20% - アクセント 4 2" xfId="486" xr:uid="{00000000-0005-0000-0000-0000BC010000}"/>
    <cellStyle name="20% - アクセント 4 2 2" xfId="487" xr:uid="{00000000-0005-0000-0000-0000BD010000}"/>
    <cellStyle name="20% - アクセント 4 2 2 2" xfId="488" xr:uid="{00000000-0005-0000-0000-0000BE010000}"/>
    <cellStyle name="20% - アクセント 4 2 2 3" xfId="489" xr:uid="{00000000-0005-0000-0000-0000BF010000}"/>
    <cellStyle name="20% - アクセント 4 2 2 4" xfId="490" xr:uid="{00000000-0005-0000-0000-0000C0010000}"/>
    <cellStyle name="20% - アクセント 4 2 3" xfId="491" xr:uid="{00000000-0005-0000-0000-0000C1010000}"/>
    <cellStyle name="20% - アクセント 4 2 3 2" xfId="492" xr:uid="{00000000-0005-0000-0000-0000C2010000}"/>
    <cellStyle name="20% - アクセント 4 2 3 3" xfId="493" xr:uid="{00000000-0005-0000-0000-0000C3010000}"/>
    <cellStyle name="20% - アクセント 4 2 3 4" xfId="494" xr:uid="{00000000-0005-0000-0000-0000C4010000}"/>
    <cellStyle name="20% - アクセント 4 2 4" xfId="495" xr:uid="{00000000-0005-0000-0000-0000C5010000}"/>
    <cellStyle name="20% - アクセント 4 2 5" xfId="496" xr:uid="{00000000-0005-0000-0000-0000C6010000}"/>
    <cellStyle name="20% - アクセント 4 2 6" xfId="497" xr:uid="{00000000-0005-0000-0000-0000C7010000}"/>
    <cellStyle name="20% - アクセント 4 2_Monthly Segment Financial Statements_20091030" xfId="498" xr:uid="{00000000-0005-0000-0000-0000C8010000}"/>
    <cellStyle name="20% - アクセント 4 3" xfId="499" xr:uid="{00000000-0005-0000-0000-0000C9010000}"/>
    <cellStyle name="20% - アクセント 4 3 2" xfId="500" xr:uid="{00000000-0005-0000-0000-0000CA010000}"/>
    <cellStyle name="20% - アクセント 4 3 2 2" xfId="501" xr:uid="{00000000-0005-0000-0000-0000CB010000}"/>
    <cellStyle name="20% - アクセント 4 3 2 3" xfId="502" xr:uid="{00000000-0005-0000-0000-0000CC010000}"/>
    <cellStyle name="20% - アクセント 4 3 2 4" xfId="503" xr:uid="{00000000-0005-0000-0000-0000CD010000}"/>
    <cellStyle name="20% - アクセント 4 3 3" xfId="504" xr:uid="{00000000-0005-0000-0000-0000CE010000}"/>
    <cellStyle name="20% - アクセント 4 3 3 2" xfId="505" xr:uid="{00000000-0005-0000-0000-0000CF010000}"/>
    <cellStyle name="20% - アクセント 4 3 3 3" xfId="506" xr:uid="{00000000-0005-0000-0000-0000D0010000}"/>
    <cellStyle name="20% - アクセント 4 3 3 4" xfId="507" xr:uid="{00000000-0005-0000-0000-0000D1010000}"/>
    <cellStyle name="20% - アクセント 4 3 4" xfId="508" xr:uid="{00000000-0005-0000-0000-0000D2010000}"/>
    <cellStyle name="20% - アクセント 4 3 5" xfId="509" xr:uid="{00000000-0005-0000-0000-0000D3010000}"/>
    <cellStyle name="20% - アクセント 4 3 6" xfId="510" xr:uid="{00000000-0005-0000-0000-0000D4010000}"/>
    <cellStyle name="20% - アクセント 4 3_Monthly Segment Financial Statements_20091030" xfId="511" xr:uid="{00000000-0005-0000-0000-0000D5010000}"/>
    <cellStyle name="20% - アクセント 4 4" xfId="512" xr:uid="{00000000-0005-0000-0000-0000D6010000}"/>
    <cellStyle name="20% - アクセント 4 4 2" xfId="513" xr:uid="{00000000-0005-0000-0000-0000D7010000}"/>
    <cellStyle name="20% - アクセント 4 4 2 2" xfId="514" xr:uid="{00000000-0005-0000-0000-0000D8010000}"/>
    <cellStyle name="20% - アクセント 4 4 2 3" xfId="515" xr:uid="{00000000-0005-0000-0000-0000D9010000}"/>
    <cellStyle name="20% - アクセント 4 4 2 4" xfId="516" xr:uid="{00000000-0005-0000-0000-0000DA010000}"/>
    <cellStyle name="20% - アクセント 4 4 3" xfId="517" xr:uid="{00000000-0005-0000-0000-0000DB010000}"/>
    <cellStyle name="20% - アクセント 4 4 3 2" xfId="518" xr:uid="{00000000-0005-0000-0000-0000DC010000}"/>
    <cellStyle name="20% - アクセント 4 4 3 3" xfId="519" xr:uid="{00000000-0005-0000-0000-0000DD010000}"/>
    <cellStyle name="20% - アクセント 4 4 3 4" xfId="520" xr:uid="{00000000-0005-0000-0000-0000DE010000}"/>
    <cellStyle name="20% - アクセント 4 4 4" xfId="521" xr:uid="{00000000-0005-0000-0000-0000DF010000}"/>
    <cellStyle name="20% - アクセント 4 4 5" xfId="522" xr:uid="{00000000-0005-0000-0000-0000E0010000}"/>
    <cellStyle name="20% - アクセント 4 4 6" xfId="523" xr:uid="{00000000-0005-0000-0000-0000E1010000}"/>
    <cellStyle name="20% - アクセント 4 4_Monthly Segment Financial Statements_20091030" xfId="524" xr:uid="{00000000-0005-0000-0000-0000E2010000}"/>
    <cellStyle name="20% - アクセント 4 5" xfId="525" xr:uid="{00000000-0005-0000-0000-0000E3010000}"/>
    <cellStyle name="20% - アクセント 4 5 2" xfId="526" xr:uid="{00000000-0005-0000-0000-0000E4010000}"/>
    <cellStyle name="20% - アクセント 4 5 2 2" xfId="527" xr:uid="{00000000-0005-0000-0000-0000E5010000}"/>
    <cellStyle name="20% - アクセント 4 5 2 3" xfId="528" xr:uid="{00000000-0005-0000-0000-0000E6010000}"/>
    <cellStyle name="20% - アクセント 4 5 2 4" xfId="529" xr:uid="{00000000-0005-0000-0000-0000E7010000}"/>
    <cellStyle name="20% - アクセント 4 5 3" xfId="530" xr:uid="{00000000-0005-0000-0000-0000E8010000}"/>
    <cellStyle name="20% - アクセント 4 5 3 2" xfId="531" xr:uid="{00000000-0005-0000-0000-0000E9010000}"/>
    <cellStyle name="20% - アクセント 4 5 3 3" xfId="532" xr:uid="{00000000-0005-0000-0000-0000EA010000}"/>
    <cellStyle name="20% - アクセント 4 5 3 4" xfId="533" xr:uid="{00000000-0005-0000-0000-0000EB010000}"/>
    <cellStyle name="20% - アクセント 4 5 4" xfId="534" xr:uid="{00000000-0005-0000-0000-0000EC010000}"/>
    <cellStyle name="20% - アクセント 4 5 5" xfId="535" xr:uid="{00000000-0005-0000-0000-0000ED010000}"/>
    <cellStyle name="20% - アクセント 4 5 6" xfId="536" xr:uid="{00000000-0005-0000-0000-0000EE010000}"/>
    <cellStyle name="20% - アクセント 4 5_Monthly Segment Financial Statements_20091030" xfId="537" xr:uid="{00000000-0005-0000-0000-0000EF010000}"/>
    <cellStyle name="20% - アクセント 4 6" xfId="538" xr:uid="{00000000-0005-0000-0000-0000F0010000}"/>
    <cellStyle name="20% - アクセント 4 6 2" xfId="539" xr:uid="{00000000-0005-0000-0000-0000F1010000}"/>
    <cellStyle name="20% - アクセント 4 6 2 2" xfId="540" xr:uid="{00000000-0005-0000-0000-0000F2010000}"/>
    <cellStyle name="20% - アクセント 4 6 2 3" xfId="541" xr:uid="{00000000-0005-0000-0000-0000F3010000}"/>
    <cellStyle name="20% - アクセント 4 6 2 4" xfId="542" xr:uid="{00000000-0005-0000-0000-0000F4010000}"/>
    <cellStyle name="20% - アクセント 4 6 3" xfId="543" xr:uid="{00000000-0005-0000-0000-0000F5010000}"/>
    <cellStyle name="20% - アクセント 4 6 3 2" xfId="544" xr:uid="{00000000-0005-0000-0000-0000F6010000}"/>
    <cellStyle name="20% - アクセント 4 6 3 3" xfId="545" xr:uid="{00000000-0005-0000-0000-0000F7010000}"/>
    <cellStyle name="20% - アクセント 4 6 3 4" xfId="546" xr:uid="{00000000-0005-0000-0000-0000F8010000}"/>
    <cellStyle name="20% - アクセント 4 6 4" xfId="547" xr:uid="{00000000-0005-0000-0000-0000F9010000}"/>
    <cellStyle name="20% - アクセント 4 6 5" xfId="548" xr:uid="{00000000-0005-0000-0000-0000FA010000}"/>
    <cellStyle name="20% - アクセント 4 6 6" xfId="549" xr:uid="{00000000-0005-0000-0000-0000FB010000}"/>
    <cellStyle name="20% - アクセント 4 6_Monthly Segment Financial Statements_20091030" xfId="550" xr:uid="{00000000-0005-0000-0000-0000FC010000}"/>
    <cellStyle name="20% - アクセント 4 7" xfId="551" xr:uid="{00000000-0005-0000-0000-0000FD010000}"/>
    <cellStyle name="20% - アクセント 4 7 2" xfId="552" xr:uid="{00000000-0005-0000-0000-0000FE010000}"/>
    <cellStyle name="20% - アクセント 4 7 2 2" xfId="553" xr:uid="{00000000-0005-0000-0000-0000FF010000}"/>
    <cellStyle name="20% - アクセント 4 7 2 3" xfId="554" xr:uid="{00000000-0005-0000-0000-000000020000}"/>
    <cellStyle name="20% - アクセント 4 7 2 4" xfId="555" xr:uid="{00000000-0005-0000-0000-000001020000}"/>
    <cellStyle name="20% - アクセント 4 7 3" xfId="556" xr:uid="{00000000-0005-0000-0000-000002020000}"/>
    <cellStyle name="20% - アクセント 4 7 3 2" xfId="557" xr:uid="{00000000-0005-0000-0000-000003020000}"/>
    <cellStyle name="20% - アクセント 4 7 3 3" xfId="558" xr:uid="{00000000-0005-0000-0000-000004020000}"/>
    <cellStyle name="20% - アクセント 4 7 3 4" xfId="559" xr:uid="{00000000-0005-0000-0000-000005020000}"/>
    <cellStyle name="20% - アクセント 4 7 4" xfId="560" xr:uid="{00000000-0005-0000-0000-000006020000}"/>
    <cellStyle name="20% - アクセント 4 7 5" xfId="561" xr:uid="{00000000-0005-0000-0000-000007020000}"/>
    <cellStyle name="20% - アクセント 4 7 6" xfId="562" xr:uid="{00000000-0005-0000-0000-000008020000}"/>
    <cellStyle name="20% - アクセント 4 7_Monthly Segment Financial Statements_20091030" xfId="563" xr:uid="{00000000-0005-0000-0000-000009020000}"/>
    <cellStyle name="20% - アクセント 4 8" xfId="564" xr:uid="{00000000-0005-0000-0000-00000A020000}"/>
    <cellStyle name="20% - アクセント 4 8 2" xfId="565" xr:uid="{00000000-0005-0000-0000-00000B020000}"/>
    <cellStyle name="20% - アクセント 4 8 2 2" xfId="566" xr:uid="{00000000-0005-0000-0000-00000C020000}"/>
    <cellStyle name="20% - アクセント 4 8 2 3" xfId="567" xr:uid="{00000000-0005-0000-0000-00000D020000}"/>
    <cellStyle name="20% - アクセント 4 8 2 4" xfId="568" xr:uid="{00000000-0005-0000-0000-00000E020000}"/>
    <cellStyle name="20% - アクセント 4 8 3" xfId="569" xr:uid="{00000000-0005-0000-0000-00000F020000}"/>
    <cellStyle name="20% - アクセント 4 8 3 2" xfId="570" xr:uid="{00000000-0005-0000-0000-000010020000}"/>
    <cellStyle name="20% - アクセント 4 8 3 3" xfId="571" xr:uid="{00000000-0005-0000-0000-000011020000}"/>
    <cellStyle name="20% - アクセント 4 8 3 4" xfId="572" xr:uid="{00000000-0005-0000-0000-000012020000}"/>
    <cellStyle name="20% - アクセント 4 8 4" xfId="573" xr:uid="{00000000-0005-0000-0000-000013020000}"/>
    <cellStyle name="20% - アクセント 4 8 5" xfId="574" xr:uid="{00000000-0005-0000-0000-000014020000}"/>
    <cellStyle name="20% - アクセント 4 8 6" xfId="575" xr:uid="{00000000-0005-0000-0000-000015020000}"/>
    <cellStyle name="20% - アクセント 4 8_Monthly Segment Financial Statements_20091030" xfId="576" xr:uid="{00000000-0005-0000-0000-000016020000}"/>
    <cellStyle name="20% - アクセント 4 9" xfId="577" xr:uid="{00000000-0005-0000-0000-000017020000}"/>
    <cellStyle name="20% - アクセント 4 9 2" xfId="578" xr:uid="{00000000-0005-0000-0000-000018020000}"/>
    <cellStyle name="20% - アクセント 4 9 2 2" xfId="579" xr:uid="{00000000-0005-0000-0000-000019020000}"/>
    <cellStyle name="20% - アクセント 4 9 2 3" xfId="580" xr:uid="{00000000-0005-0000-0000-00001A020000}"/>
    <cellStyle name="20% - アクセント 4 9 2 4" xfId="581" xr:uid="{00000000-0005-0000-0000-00001B020000}"/>
    <cellStyle name="20% - アクセント 4 9 3" xfId="582" xr:uid="{00000000-0005-0000-0000-00001C020000}"/>
    <cellStyle name="20% - アクセント 4 9 3 2" xfId="583" xr:uid="{00000000-0005-0000-0000-00001D020000}"/>
    <cellStyle name="20% - アクセント 4 9 3 3" xfId="584" xr:uid="{00000000-0005-0000-0000-00001E020000}"/>
    <cellStyle name="20% - アクセント 4 9 3 4" xfId="585" xr:uid="{00000000-0005-0000-0000-00001F020000}"/>
    <cellStyle name="20% - アクセント 4 9 4" xfId="586" xr:uid="{00000000-0005-0000-0000-000020020000}"/>
    <cellStyle name="20% - アクセント 4 9 5" xfId="587" xr:uid="{00000000-0005-0000-0000-000021020000}"/>
    <cellStyle name="20% - アクセント 4 9 6" xfId="588" xr:uid="{00000000-0005-0000-0000-000022020000}"/>
    <cellStyle name="20% - アクセント 4 9_Monthly Segment Financial Statements_20091030" xfId="589" xr:uid="{00000000-0005-0000-0000-000023020000}"/>
    <cellStyle name="20% - アクセント 5 10" xfId="590" xr:uid="{00000000-0005-0000-0000-000024020000}"/>
    <cellStyle name="20% - アクセント 5 10 2" xfId="591" xr:uid="{00000000-0005-0000-0000-000025020000}"/>
    <cellStyle name="20% - アクセント 5 10 2 2" xfId="592" xr:uid="{00000000-0005-0000-0000-000026020000}"/>
    <cellStyle name="20% - アクセント 5 10 2 3" xfId="593" xr:uid="{00000000-0005-0000-0000-000027020000}"/>
    <cellStyle name="20% - アクセント 5 10 2 4" xfId="594" xr:uid="{00000000-0005-0000-0000-000028020000}"/>
    <cellStyle name="20% - アクセント 5 10 3" xfId="595" xr:uid="{00000000-0005-0000-0000-000029020000}"/>
    <cellStyle name="20% - アクセント 5 10 3 2" xfId="596" xr:uid="{00000000-0005-0000-0000-00002A020000}"/>
    <cellStyle name="20% - アクセント 5 10 3 3" xfId="597" xr:uid="{00000000-0005-0000-0000-00002B020000}"/>
    <cellStyle name="20% - アクセント 5 10 3 4" xfId="598" xr:uid="{00000000-0005-0000-0000-00002C020000}"/>
    <cellStyle name="20% - アクセント 5 10 4" xfId="599" xr:uid="{00000000-0005-0000-0000-00002D020000}"/>
    <cellStyle name="20% - アクセント 5 10 5" xfId="600" xr:uid="{00000000-0005-0000-0000-00002E020000}"/>
    <cellStyle name="20% - アクセント 5 10 6" xfId="601" xr:uid="{00000000-0005-0000-0000-00002F020000}"/>
    <cellStyle name="20% - アクセント 5 10_Monthly Segment Financial Statements_20091030" xfId="602" xr:uid="{00000000-0005-0000-0000-000030020000}"/>
    <cellStyle name="20% - アクセント 5 11" xfId="603" xr:uid="{00000000-0005-0000-0000-000031020000}"/>
    <cellStyle name="20% - アクセント 5 11 2" xfId="604" xr:uid="{00000000-0005-0000-0000-000032020000}"/>
    <cellStyle name="20% - アクセント 5 11 2 2" xfId="605" xr:uid="{00000000-0005-0000-0000-000033020000}"/>
    <cellStyle name="20% - アクセント 5 11 2 3" xfId="606" xr:uid="{00000000-0005-0000-0000-000034020000}"/>
    <cellStyle name="20% - アクセント 5 11 2 4" xfId="607" xr:uid="{00000000-0005-0000-0000-000035020000}"/>
    <cellStyle name="20% - アクセント 5 11 3" xfId="608" xr:uid="{00000000-0005-0000-0000-000036020000}"/>
    <cellStyle name="20% - アクセント 5 11 3 2" xfId="609" xr:uid="{00000000-0005-0000-0000-000037020000}"/>
    <cellStyle name="20% - アクセント 5 11 3 3" xfId="610" xr:uid="{00000000-0005-0000-0000-000038020000}"/>
    <cellStyle name="20% - アクセント 5 11 3 4" xfId="611" xr:uid="{00000000-0005-0000-0000-000039020000}"/>
    <cellStyle name="20% - アクセント 5 11 4" xfId="612" xr:uid="{00000000-0005-0000-0000-00003A020000}"/>
    <cellStyle name="20% - アクセント 5 11 5" xfId="613" xr:uid="{00000000-0005-0000-0000-00003B020000}"/>
    <cellStyle name="20% - アクセント 5 11 6" xfId="614" xr:uid="{00000000-0005-0000-0000-00003C020000}"/>
    <cellStyle name="20% - アクセント 5 11_Monthly Segment Financial Statements_20091030" xfId="615" xr:uid="{00000000-0005-0000-0000-00003D020000}"/>
    <cellStyle name="20% - アクセント 5 2" xfId="616" xr:uid="{00000000-0005-0000-0000-00003E020000}"/>
    <cellStyle name="20% - アクセント 5 2 2" xfId="617" xr:uid="{00000000-0005-0000-0000-00003F020000}"/>
    <cellStyle name="20% - アクセント 5 2 2 2" xfId="618" xr:uid="{00000000-0005-0000-0000-000040020000}"/>
    <cellStyle name="20% - アクセント 5 2 2 3" xfId="619" xr:uid="{00000000-0005-0000-0000-000041020000}"/>
    <cellStyle name="20% - アクセント 5 2 2 4" xfId="620" xr:uid="{00000000-0005-0000-0000-000042020000}"/>
    <cellStyle name="20% - アクセント 5 2 3" xfId="621" xr:uid="{00000000-0005-0000-0000-000043020000}"/>
    <cellStyle name="20% - アクセント 5 2 3 2" xfId="622" xr:uid="{00000000-0005-0000-0000-000044020000}"/>
    <cellStyle name="20% - アクセント 5 2 3 3" xfId="623" xr:uid="{00000000-0005-0000-0000-000045020000}"/>
    <cellStyle name="20% - アクセント 5 2 3 4" xfId="624" xr:uid="{00000000-0005-0000-0000-000046020000}"/>
    <cellStyle name="20% - アクセント 5 2 4" xfId="625" xr:uid="{00000000-0005-0000-0000-000047020000}"/>
    <cellStyle name="20% - アクセント 5 2 5" xfId="626" xr:uid="{00000000-0005-0000-0000-000048020000}"/>
    <cellStyle name="20% - アクセント 5 2 6" xfId="627" xr:uid="{00000000-0005-0000-0000-000049020000}"/>
    <cellStyle name="20% - アクセント 5 2_Monthly Segment Financial Statements_20091030" xfId="628" xr:uid="{00000000-0005-0000-0000-00004A020000}"/>
    <cellStyle name="20% - アクセント 5 3" xfId="629" xr:uid="{00000000-0005-0000-0000-00004B020000}"/>
    <cellStyle name="20% - アクセント 5 3 2" xfId="630" xr:uid="{00000000-0005-0000-0000-00004C020000}"/>
    <cellStyle name="20% - アクセント 5 3 2 2" xfId="631" xr:uid="{00000000-0005-0000-0000-00004D020000}"/>
    <cellStyle name="20% - アクセント 5 3 2 3" xfId="632" xr:uid="{00000000-0005-0000-0000-00004E020000}"/>
    <cellStyle name="20% - アクセント 5 3 2 4" xfId="633" xr:uid="{00000000-0005-0000-0000-00004F020000}"/>
    <cellStyle name="20% - アクセント 5 3 3" xfId="634" xr:uid="{00000000-0005-0000-0000-000050020000}"/>
    <cellStyle name="20% - アクセント 5 3 3 2" xfId="635" xr:uid="{00000000-0005-0000-0000-000051020000}"/>
    <cellStyle name="20% - アクセント 5 3 3 3" xfId="636" xr:uid="{00000000-0005-0000-0000-000052020000}"/>
    <cellStyle name="20% - アクセント 5 3 3 4" xfId="637" xr:uid="{00000000-0005-0000-0000-000053020000}"/>
    <cellStyle name="20% - アクセント 5 3 4" xfId="638" xr:uid="{00000000-0005-0000-0000-000054020000}"/>
    <cellStyle name="20% - アクセント 5 3 5" xfId="639" xr:uid="{00000000-0005-0000-0000-000055020000}"/>
    <cellStyle name="20% - アクセント 5 3 6" xfId="640" xr:uid="{00000000-0005-0000-0000-000056020000}"/>
    <cellStyle name="20% - アクセント 5 3_Monthly Segment Financial Statements_20091030" xfId="641" xr:uid="{00000000-0005-0000-0000-000057020000}"/>
    <cellStyle name="20% - アクセント 5 4" xfId="642" xr:uid="{00000000-0005-0000-0000-000058020000}"/>
    <cellStyle name="20% - アクセント 5 4 2" xfId="643" xr:uid="{00000000-0005-0000-0000-000059020000}"/>
    <cellStyle name="20% - アクセント 5 4 2 2" xfId="644" xr:uid="{00000000-0005-0000-0000-00005A020000}"/>
    <cellStyle name="20% - アクセント 5 4 2 3" xfId="645" xr:uid="{00000000-0005-0000-0000-00005B020000}"/>
    <cellStyle name="20% - アクセント 5 4 2 4" xfId="646" xr:uid="{00000000-0005-0000-0000-00005C020000}"/>
    <cellStyle name="20% - アクセント 5 4 3" xfId="647" xr:uid="{00000000-0005-0000-0000-00005D020000}"/>
    <cellStyle name="20% - アクセント 5 4 3 2" xfId="648" xr:uid="{00000000-0005-0000-0000-00005E020000}"/>
    <cellStyle name="20% - アクセント 5 4 3 3" xfId="649" xr:uid="{00000000-0005-0000-0000-00005F020000}"/>
    <cellStyle name="20% - アクセント 5 4 3 4" xfId="650" xr:uid="{00000000-0005-0000-0000-000060020000}"/>
    <cellStyle name="20% - アクセント 5 4 4" xfId="651" xr:uid="{00000000-0005-0000-0000-000061020000}"/>
    <cellStyle name="20% - アクセント 5 4 5" xfId="652" xr:uid="{00000000-0005-0000-0000-000062020000}"/>
    <cellStyle name="20% - アクセント 5 4 6" xfId="653" xr:uid="{00000000-0005-0000-0000-000063020000}"/>
    <cellStyle name="20% - アクセント 5 4_Monthly Segment Financial Statements_20091030" xfId="654" xr:uid="{00000000-0005-0000-0000-000064020000}"/>
    <cellStyle name="20% - アクセント 5 5" xfId="655" xr:uid="{00000000-0005-0000-0000-000065020000}"/>
    <cellStyle name="20% - アクセント 5 5 2" xfId="656" xr:uid="{00000000-0005-0000-0000-000066020000}"/>
    <cellStyle name="20% - アクセント 5 5 2 2" xfId="657" xr:uid="{00000000-0005-0000-0000-000067020000}"/>
    <cellStyle name="20% - アクセント 5 5 2 3" xfId="658" xr:uid="{00000000-0005-0000-0000-000068020000}"/>
    <cellStyle name="20% - アクセント 5 5 2 4" xfId="659" xr:uid="{00000000-0005-0000-0000-000069020000}"/>
    <cellStyle name="20% - アクセント 5 5 3" xfId="660" xr:uid="{00000000-0005-0000-0000-00006A020000}"/>
    <cellStyle name="20% - アクセント 5 5 3 2" xfId="661" xr:uid="{00000000-0005-0000-0000-00006B020000}"/>
    <cellStyle name="20% - アクセント 5 5 3 3" xfId="662" xr:uid="{00000000-0005-0000-0000-00006C020000}"/>
    <cellStyle name="20% - アクセント 5 5 3 4" xfId="663" xr:uid="{00000000-0005-0000-0000-00006D020000}"/>
    <cellStyle name="20% - アクセント 5 5 4" xfId="664" xr:uid="{00000000-0005-0000-0000-00006E020000}"/>
    <cellStyle name="20% - アクセント 5 5 5" xfId="665" xr:uid="{00000000-0005-0000-0000-00006F020000}"/>
    <cellStyle name="20% - アクセント 5 5 6" xfId="666" xr:uid="{00000000-0005-0000-0000-000070020000}"/>
    <cellStyle name="20% - アクセント 5 5_Monthly Segment Financial Statements_20091030" xfId="667" xr:uid="{00000000-0005-0000-0000-000071020000}"/>
    <cellStyle name="20% - アクセント 5 6" xfId="668" xr:uid="{00000000-0005-0000-0000-000072020000}"/>
    <cellStyle name="20% - アクセント 5 6 2" xfId="669" xr:uid="{00000000-0005-0000-0000-000073020000}"/>
    <cellStyle name="20% - アクセント 5 6 2 2" xfId="670" xr:uid="{00000000-0005-0000-0000-000074020000}"/>
    <cellStyle name="20% - アクセント 5 6 2 3" xfId="671" xr:uid="{00000000-0005-0000-0000-000075020000}"/>
    <cellStyle name="20% - アクセント 5 6 2 4" xfId="672" xr:uid="{00000000-0005-0000-0000-000076020000}"/>
    <cellStyle name="20% - アクセント 5 6 3" xfId="673" xr:uid="{00000000-0005-0000-0000-000077020000}"/>
    <cellStyle name="20% - アクセント 5 6 3 2" xfId="674" xr:uid="{00000000-0005-0000-0000-000078020000}"/>
    <cellStyle name="20% - アクセント 5 6 3 3" xfId="675" xr:uid="{00000000-0005-0000-0000-000079020000}"/>
    <cellStyle name="20% - アクセント 5 6 3 4" xfId="676" xr:uid="{00000000-0005-0000-0000-00007A020000}"/>
    <cellStyle name="20% - アクセント 5 6 4" xfId="677" xr:uid="{00000000-0005-0000-0000-00007B020000}"/>
    <cellStyle name="20% - アクセント 5 6 5" xfId="678" xr:uid="{00000000-0005-0000-0000-00007C020000}"/>
    <cellStyle name="20% - アクセント 5 6 6" xfId="679" xr:uid="{00000000-0005-0000-0000-00007D020000}"/>
    <cellStyle name="20% - アクセント 5 6_Monthly Segment Financial Statements_20091030" xfId="680" xr:uid="{00000000-0005-0000-0000-00007E020000}"/>
    <cellStyle name="20% - アクセント 5 7" xfId="681" xr:uid="{00000000-0005-0000-0000-00007F020000}"/>
    <cellStyle name="20% - アクセント 5 7 2" xfId="682" xr:uid="{00000000-0005-0000-0000-000080020000}"/>
    <cellStyle name="20% - アクセント 5 7 2 2" xfId="683" xr:uid="{00000000-0005-0000-0000-000081020000}"/>
    <cellStyle name="20% - アクセント 5 7 2 3" xfId="684" xr:uid="{00000000-0005-0000-0000-000082020000}"/>
    <cellStyle name="20% - アクセント 5 7 2 4" xfId="685" xr:uid="{00000000-0005-0000-0000-000083020000}"/>
    <cellStyle name="20% - アクセント 5 7 3" xfId="686" xr:uid="{00000000-0005-0000-0000-000084020000}"/>
    <cellStyle name="20% - アクセント 5 7 3 2" xfId="687" xr:uid="{00000000-0005-0000-0000-000085020000}"/>
    <cellStyle name="20% - アクセント 5 7 3 3" xfId="688" xr:uid="{00000000-0005-0000-0000-000086020000}"/>
    <cellStyle name="20% - アクセント 5 7 3 4" xfId="689" xr:uid="{00000000-0005-0000-0000-000087020000}"/>
    <cellStyle name="20% - アクセント 5 7 4" xfId="690" xr:uid="{00000000-0005-0000-0000-000088020000}"/>
    <cellStyle name="20% - アクセント 5 7 5" xfId="691" xr:uid="{00000000-0005-0000-0000-000089020000}"/>
    <cellStyle name="20% - アクセント 5 7 6" xfId="692" xr:uid="{00000000-0005-0000-0000-00008A020000}"/>
    <cellStyle name="20% - アクセント 5 7_Monthly Segment Financial Statements_20091030" xfId="693" xr:uid="{00000000-0005-0000-0000-00008B020000}"/>
    <cellStyle name="20% - アクセント 5 8" xfId="694" xr:uid="{00000000-0005-0000-0000-00008C020000}"/>
    <cellStyle name="20% - アクセント 5 8 2" xfId="695" xr:uid="{00000000-0005-0000-0000-00008D020000}"/>
    <cellStyle name="20% - アクセント 5 8 2 2" xfId="696" xr:uid="{00000000-0005-0000-0000-00008E020000}"/>
    <cellStyle name="20% - アクセント 5 8 2 3" xfId="697" xr:uid="{00000000-0005-0000-0000-00008F020000}"/>
    <cellStyle name="20% - アクセント 5 8 2 4" xfId="698" xr:uid="{00000000-0005-0000-0000-000090020000}"/>
    <cellStyle name="20% - アクセント 5 8 3" xfId="699" xr:uid="{00000000-0005-0000-0000-000091020000}"/>
    <cellStyle name="20% - アクセント 5 8 3 2" xfId="700" xr:uid="{00000000-0005-0000-0000-000092020000}"/>
    <cellStyle name="20% - アクセント 5 8 3 3" xfId="701" xr:uid="{00000000-0005-0000-0000-000093020000}"/>
    <cellStyle name="20% - アクセント 5 8 3 4" xfId="702" xr:uid="{00000000-0005-0000-0000-000094020000}"/>
    <cellStyle name="20% - アクセント 5 8 4" xfId="703" xr:uid="{00000000-0005-0000-0000-000095020000}"/>
    <cellStyle name="20% - アクセント 5 8 5" xfId="704" xr:uid="{00000000-0005-0000-0000-000096020000}"/>
    <cellStyle name="20% - アクセント 5 8 6" xfId="705" xr:uid="{00000000-0005-0000-0000-000097020000}"/>
    <cellStyle name="20% - アクセント 5 8_Monthly Segment Financial Statements_20091030" xfId="706" xr:uid="{00000000-0005-0000-0000-000098020000}"/>
    <cellStyle name="20% - アクセント 5 9" xfId="707" xr:uid="{00000000-0005-0000-0000-000099020000}"/>
    <cellStyle name="20% - アクセント 5 9 2" xfId="708" xr:uid="{00000000-0005-0000-0000-00009A020000}"/>
    <cellStyle name="20% - アクセント 5 9 2 2" xfId="709" xr:uid="{00000000-0005-0000-0000-00009B020000}"/>
    <cellStyle name="20% - アクセント 5 9 2 3" xfId="710" xr:uid="{00000000-0005-0000-0000-00009C020000}"/>
    <cellStyle name="20% - アクセント 5 9 2 4" xfId="711" xr:uid="{00000000-0005-0000-0000-00009D020000}"/>
    <cellStyle name="20% - アクセント 5 9 3" xfId="712" xr:uid="{00000000-0005-0000-0000-00009E020000}"/>
    <cellStyle name="20% - アクセント 5 9 3 2" xfId="713" xr:uid="{00000000-0005-0000-0000-00009F020000}"/>
    <cellStyle name="20% - アクセント 5 9 3 3" xfId="714" xr:uid="{00000000-0005-0000-0000-0000A0020000}"/>
    <cellStyle name="20% - アクセント 5 9 3 4" xfId="715" xr:uid="{00000000-0005-0000-0000-0000A1020000}"/>
    <cellStyle name="20% - アクセント 5 9 4" xfId="716" xr:uid="{00000000-0005-0000-0000-0000A2020000}"/>
    <cellStyle name="20% - アクセント 5 9 5" xfId="717" xr:uid="{00000000-0005-0000-0000-0000A3020000}"/>
    <cellStyle name="20% - アクセント 5 9 6" xfId="718" xr:uid="{00000000-0005-0000-0000-0000A4020000}"/>
    <cellStyle name="20% - アクセント 5 9_Monthly Segment Financial Statements_20091030" xfId="719" xr:uid="{00000000-0005-0000-0000-0000A5020000}"/>
    <cellStyle name="20% - アクセント 6 10" xfId="720" xr:uid="{00000000-0005-0000-0000-0000A6020000}"/>
    <cellStyle name="20% - アクセント 6 10 2" xfId="721" xr:uid="{00000000-0005-0000-0000-0000A7020000}"/>
    <cellStyle name="20% - アクセント 6 10 2 2" xfId="722" xr:uid="{00000000-0005-0000-0000-0000A8020000}"/>
    <cellStyle name="20% - アクセント 6 10 2 3" xfId="723" xr:uid="{00000000-0005-0000-0000-0000A9020000}"/>
    <cellStyle name="20% - アクセント 6 10 2 4" xfId="724" xr:uid="{00000000-0005-0000-0000-0000AA020000}"/>
    <cellStyle name="20% - アクセント 6 10 3" xfId="725" xr:uid="{00000000-0005-0000-0000-0000AB020000}"/>
    <cellStyle name="20% - アクセント 6 10 3 2" xfId="726" xr:uid="{00000000-0005-0000-0000-0000AC020000}"/>
    <cellStyle name="20% - アクセント 6 10 3 3" xfId="727" xr:uid="{00000000-0005-0000-0000-0000AD020000}"/>
    <cellStyle name="20% - アクセント 6 10 3 4" xfId="728" xr:uid="{00000000-0005-0000-0000-0000AE020000}"/>
    <cellStyle name="20% - アクセント 6 10 4" xfId="729" xr:uid="{00000000-0005-0000-0000-0000AF020000}"/>
    <cellStyle name="20% - アクセント 6 10 5" xfId="730" xr:uid="{00000000-0005-0000-0000-0000B0020000}"/>
    <cellStyle name="20% - アクセント 6 10 6" xfId="731" xr:uid="{00000000-0005-0000-0000-0000B1020000}"/>
    <cellStyle name="20% - アクセント 6 10_Monthly Segment Financial Statements_20091030" xfId="732" xr:uid="{00000000-0005-0000-0000-0000B2020000}"/>
    <cellStyle name="20% - アクセント 6 11" xfId="733" xr:uid="{00000000-0005-0000-0000-0000B3020000}"/>
    <cellStyle name="20% - アクセント 6 11 2" xfId="734" xr:uid="{00000000-0005-0000-0000-0000B4020000}"/>
    <cellStyle name="20% - アクセント 6 11 2 2" xfId="735" xr:uid="{00000000-0005-0000-0000-0000B5020000}"/>
    <cellStyle name="20% - アクセント 6 11 2 3" xfId="736" xr:uid="{00000000-0005-0000-0000-0000B6020000}"/>
    <cellStyle name="20% - アクセント 6 11 2 4" xfId="737" xr:uid="{00000000-0005-0000-0000-0000B7020000}"/>
    <cellStyle name="20% - アクセント 6 11 3" xfId="738" xr:uid="{00000000-0005-0000-0000-0000B8020000}"/>
    <cellStyle name="20% - アクセント 6 11 3 2" xfId="739" xr:uid="{00000000-0005-0000-0000-0000B9020000}"/>
    <cellStyle name="20% - アクセント 6 11 3 3" xfId="740" xr:uid="{00000000-0005-0000-0000-0000BA020000}"/>
    <cellStyle name="20% - アクセント 6 11 3 4" xfId="741" xr:uid="{00000000-0005-0000-0000-0000BB020000}"/>
    <cellStyle name="20% - アクセント 6 11 4" xfId="742" xr:uid="{00000000-0005-0000-0000-0000BC020000}"/>
    <cellStyle name="20% - アクセント 6 11 5" xfId="743" xr:uid="{00000000-0005-0000-0000-0000BD020000}"/>
    <cellStyle name="20% - アクセント 6 11 6" xfId="744" xr:uid="{00000000-0005-0000-0000-0000BE020000}"/>
    <cellStyle name="20% - アクセント 6 11_Monthly Segment Financial Statements_20091030" xfId="745" xr:uid="{00000000-0005-0000-0000-0000BF020000}"/>
    <cellStyle name="20% - アクセント 6 2" xfId="746" xr:uid="{00000000-0005-0000-0000-0000C0020000}"/>
    <cellStyle name="20% - アクセント 6 2 2" xfId="747" xr:uid="{00000000-0005-0000-0000-0000C1020000}"/>
    <cellStyle name="20% - アクセント 6 2 2 2" xfId="748" xr:uid="{00000000-0005-0000-0000-0000C2020000}"/>
    <cellStyle name="20% - アクセント 6 2 2 3" xfId="749" xr:uid="{00000000-0005-0000-0000-0000C3020000}"/>
    <cellStyle name="20% - アクセント 6 2 2 4" xfId="750" xr:uid="{00000000-0005-0000-0000-0000C4020000}"/>
    <cellStyle name="20% - アクセント 6 2 3" xfId="751" xr:uid="{00000000-0005-0000-0000-0000C5020000}"/>
    <cellStyle name="20% - アクセント 6 2 3 2" xfId="752" xr:uid="{00000000-0005-0000-0000-0000C6020000}"/>
    <cellStyle name="20% - アクセント 6 2 3 3" xfId="753" xr:uid="{00000000-0005-0000-0000-0000C7020000}"/>
    <cellStyle name="20% - アクセント 6 2 3 4" xfId="754" xr:uid="{00000000-0005-0000-0000-0000C8020000}"/>
    <cellStyle name="20% - アクセント 6 2 4" xfId="755" xr:uid="{00000000-0005-0000-0000-0000C9020000}"/>
    <cellStyle name="20% - アクセント 6 2 5" xfId="756" xr:uid="{00000000-0005-0000-0000-0000CA020000}"/>
    <cellStyle name="20% - アクセント 6 2 6" xfId="757" xr:uid="{00000000-0005-0000-0000-0000CB020000}"/>
    <cellStyle name="20% - アクセント 6 2_Monthly Segment Financial Statements_20091030" xfId="758" xr:uid="{00000000-0005-0000-0000-0000CC020000}"/>
    <cellStyle name="20% - アクセント 6 3" xfId="759" xr:uid="{00000000-0005-0000-0000-0000CD020000}"/>
    <cellStyle name="20% - アクセント 6 3 2" xfId="760" xr:uid="{00000000-0005-0000-0000-0000CE020000}"/>
    <cellStyle name="20% - アクセント 6 3 2 2" xfId="761" xr:uid="{00000000-0005-0000-0000-0000CF020000}"/>
    <cellStyle name="20% - アクセント 6 3 2 3" xfId="762" xr:uid="{00000000-0005-0000-0000-0000D0020000}"/>
    <cellStyle name="20% - アクセント 6 3 2 4" xfId="763" xr:uid="{00000000-0005-0000-0000-0000D1020000}"/>
    <cellStyle name="20% - アクセント 6 3 3" xfId="764" xr:uid="{00000000-0005-0000-0000-0000D2020000}"/>
    <cellStyle name="20% - アクセント 6 3 3 2" xfId="765" xr:uid="{00000000-0005-0000-0000-0000D3020000}"/>
    <cellStyle name="20% - アクセント 6 3 3 3" xfId="766" xr:uid="{00000000-0005-0000-0000-0000D4020000}"/>
    <cellStyle name="20% - アクセント 6 3 3 4" xfId="767" xr:uid="{00000000-0005-0000-0000-0000D5020000}"/>
    <cellStyle name="20% - アクセント 6 3 4" xfId="768" xr:uid="{00000000-0005-0000-0000-0000D6020000}"/>
    <cellStyle name="20% - アクセント 6 3 5" xfId="769" xr:uid="{00000000-0005-0000-0000-0000D7020000}"/>
    <cellStyle name="20% - アクセント 6 3 6" xfId="770" xr:uid="{00000000-0005-0000-0000-0000D8020000}"/>
    <cellStyle name="20% - アクセント 6 3_Monthly Segment Financial Statements_20091030" xfId="771" xr:uid="{00000000-0005-0000-0000-0000D9020000}"/>
    <cellStyle name="20% - アクセント 6 4" xfId="772" xr:uid="{00000000-0005-0000-0000-0000DA020000}"/>
    <cellStyle name="20% - アクセント 6 4 2" xfId="773" xr:uid="{00000000-0005-0000-0000-0000DB020000}"/>
    <cellStyle name="20% - アクセント 6 4 2 2" xfId="774" xr:uid="{00000000-0005-0000-0000-0000DC020000}"/>
    <cellStyle name="20% - アクセント 6 4 2 3" xfId="775" xr:uid="{00000000-0005-0000-0000-0000DD020000}"/>
    <cellStyle name="20% - アクセント 6 4 2 4" xfId="776" xr:uid="{00000000-0005-0000-0000-0000DE020000}"/>
    <cellStyle name="20% - アクセント 6 4 3" xfId="777" xr:uid="{00000000-0005-0000-0000-0000DF020000}"/>
    <cellStyle name="20% - アクセント 6 4 3 2" xfId="778" xr:uid="{00000000-0005-0000-0000-0000E0020000}"/>
    <cellStyle name="20% - アクセント 6 4 3 3" xfId="779" xr:uid="{00000000-0005-0000-0000-0000E1020000}"/>
    <cellStyle name="20% - アクセント 6 4 3 4" xfId="780" xr:uid="{00000000-0005-0000-0000-0000E2020000}"/>
    <cellStyle name="20% - アクセント 6 4 4" xfId="781" xr:uid="{00000000-0005-0000-0000-0000E3020000}"/>
    <cellStyle name="20% - アクセント 6 4 5" xfId="782" xr:uid="{00000000-0005-0000-0000-0000E4020000}"/>
    <cellStyle name="20% - アクセント 6 4 6" xfId="783" xr:uid="{00000000-0005-0000-0000-0000E5020000}"/>
    <cellStyle name="20% - アクセント 6 4_Monthly Segment Financial Statements_20091030" xfId="784" xr:uid="{00000000-0005-0000-0000-0000E6020000}"/>
    <cellStyle name="20% - アクセント 6 5" xfId="785" xr:uid="{00000000-0005-0000-0000-0000E7020000}"/>
    <cellStyle name="20% - アクセント 6 5 2" xfId="786" xr:uid="{00000000-0005-0000-0000-0000E8020000}"/>
    <cellStyle name="20% - アクセント 6 5 2 2" xfId="787" xr:uid="{00000000-0005-0000-0000-0000E9020000}"/>
    <cellStyle name="20% - アクセント 6 5 2 3" xfId="788" xr:uid="{00000000-0005-0000-0000-0000EA020000}"/>
    <cellStyle name="20% - アクセント 6 5 2 4" xfId="789" xr:uid="{00000000-0005-0000-0000-0000EB020000}"/>
    <cellStyle name="20% - アクセント 6 5 3" xfId="790" xr:uid="{00000000-0005-0000-0000-0000EC020000}"/>
    <cellStyle name="20% - アクセント 6 5 3 2" xfId="791" xr:uid="{00000000-0005-0000-0000-0000ED020000}"/>
    <cellStyle name="20% - アクセント 6 5 3 3" xfId="792" xr:uid="{00000000-0005-0000-0000-0000EE020000}"/>
    <cellStyle name="20% - アクセント 6 5 3 4" xfId="793" xr:uid="{00000000-0005-0000-0000-0000EF020000}"/>
    <cellStyle name="20% - アクセント 6 5 4" xfId="794" xr:uid="{00000000-0005-0000-0000-0000F0020000}"/>
    <cellStyle name="20% - アクセント 6 5 5" xfId="795" xr:uid="{00000000-0005-0000-0000-0000F1020000}"/>
    <cellStyle name="20% - アクセント 6 5 6" xfId="796" xr:uid="{00000000-0005-0000-0000-0000F2020000}"/>
    <cellStyle name="20% - アクセント 6 5_Monthly Segment Financial Statements_20091030" xfId="797" xr:uid="{00000000-0005-0000-0000-0000F3020000}"/>
    <cellStyle name="20% - アクセント 6 6" xfId="798" xr:uid="{00000000-0005-0000-0000-0000F4020000}"/>
    <cellStyle name="20% - アクセント 6 6 2" xfId="799" xr:uid="{00000000-0005-0000-0000-0000F5020000}"/>
    <cellStyle name="20% - アクセント 6 6 2 2" xfId="800" xr:uid="{00000000-0005-0000-0000-0000F6020000}"/>
    <cellStyle name="20% - アクセント 6 6 2 3" xfId="801" xr:uid="{00000000-0005-0000-0000-0000F7020000}"/>
    <cellStyle name="20% - アクセント 6 6 2 4" xfId="802" xr:uid="{00000000-0005-0000-0000-0000F8020000}"/>
    <cellStyle name="20% - アクセント 6 6 3" xfId="803" xr:uid="{00000000-0005-0000-0000-0000F9020000}"/>
    <cellStyle name="20% - アクセント 6 6 3 2" xfId="804" xr:uid="{00000000-0005-0000-0000-0000FA020000}"/>
    <cellStyle name="20% - アクセント 6 6 3 3" xfId="805" xr:uid="{00000000-0005-0000-0000-0000FB020000}"/>
    <cellStyle name="20% - アクセント 6 6 3 4" xfId="806" xr:uid="{00000000-0005-0000-0000-0000FC020000}"/>
    <cellStyle name="20% - アクセント 6 6 4" xfId="807" xr:uid="{00000000-0005-0000-0000-0000FD020000}"/>
    <cellStyle name="20% - アクセント 6 6 5" xfId="808" xr:uid="{00000000-0005-0000-0000-0000FE020000}"/>
    <cellStyle name="20% - アクセント 6 6 6" xfId="809" xr:uid="{00000000-0005-0000-0000-0000FF020000}"/>
    <cellStyle name="20% - アクセント 6 6_Monthly Segment Financial Statements_20091030" xfId="810" xr:uid="{00000000-0005-0000-0000-000000030000}"/>
    <cellStyle name="20% - アクセント 6 7" xfId="811" xr:uid="{00000000-0005-0000-0000-000001030000}"/>
    <cellStyle name="20% - アクセント 6 7 2" xfId="812" xr:uid="{00000000-0005-0000-0000-000002030000}"/>
    <cellStyle name="20% - アクセント 6 7 2 2" xfId="813" xr:uid="{00000000-0005-0000-0000-000003030000}"/>
    <cellStyle name="20% - アクセント 6 7 2 3" xfId="814" xr:uid="{00000000-0005-0000-0000-000004030000}"/>
    <cellStyle name="20% - アクセント 6 7 2 4" xfId="815" xr:uid="{00000000-0005-0000-0000-000005030000}"/>
    <cellStyle name="20% - アクセント 6 7 3" xfId="816" xr:uid="{00000000-0005-0000-0000-000006030000}"/>
    <cellStyle name="20% - アクセント 6 7 3 2" xfId="817" xr:uid="{00000000-0005-0000-0000-000007030000}"/>
    <cellStyle name="20% - アクセント 6 7 3 3" xfId="818" xr:uid="{00000000-0005-0000-0000-000008030000}"/>
    <cellStyle name="20% - アクセント 6 7 3 4" xfId="819" xr:uid="{00000000-0005-0000-0000-000009030000}"/>
    <cellStyle name="20% - アクセント 6 7 4" xfId="820" xr:uid="{00000000-0005-0000-0000-00000A030000}"/>
    <cellStyle name="20% - アクセント 6 7 5" xfId="821" xr:uid="{00000000-0005-0000-0000-00000B030000}"/>
    <cellStyle name="20% - アクセント 6 7 6" xfId="822" xr:uid="{00000000-0005-0000-0000-00000C030000}"/>
    <cellStyle name="20% - アクセント 6 7_Monthly Segment Financial Statements_20091030" xfId="823" xr:uid="{00000000-0005-0000-0000-00000D030000}"/>
    <cellStyle name="20% - アクセント 6 8" xfId="824" xr:uid="{00000000-0005-0000-0000-00000E030000}"/>
    <cellStyle name="20% - アクセント 6 8 2" xfId="825" xr:uid="{00000000-0005-0000-0000-00000F030000}"/>
    <cellStyle name="20% - アクセント 6 8 2 2" xfId="826" xr:uid="{00000000-0005-0000-0000-000010030000}"/>
    <cellStyle name="20% - アクセント 6 8 2 3" xfId="827" xr:uid="{00000000-0005-0000-0000-000011030000}"/>
    <cellStyle name="20% - アクセント 6 8 2 4" xfId="828" xr:uid="{00000000-0005-0000-0000-000012030000}"/>
    <cellStyle name="20% - アクセント 6 8 3" xfId="829" xr:uid="{00000000-0005-0000-0000-000013030000}"/>
    <cellStyle name="20% - アクセント 6 8 3 2" xfId="830" xr:uid="{00000000-0005-0000-0000-000014030000}"/>
    <cellStyle name="20% - アクセント 6 8 3 3" xfId="831" xr:uid="{00000000-0005-0000-0000-000015030000}"/>
    <cellStyle name="20% - アクセント 6 8 3 4" xfId="832" xr:uid="{00000000-0005-0000-0000-000016030000}"/>
    <cellStyle name="20% - アクセント 6 8 4" xfId="833" xr:uid="{00000000-0005-0000-0000-000017030000}"/>
    <cellStyle name="20% - アクセント 6 8 5" xfId="834" xr:uid="{00000000-0005-0000-0000-000018030000}"/>
    <cellStyle name="20% - アクセント 6 8 6" xfId="835" xr:uid="{00000000-0005-0000-0000-000019030000}"/>
    <cellStyle name="40% - Accent1 2" xfId="836" xr:uid="{00000000-0005-0000-0000-00001A030000}"/>
    <cellStyle name="40% - Accent1 2 2" xfId="837" xr:uid="{00000000-0005-0000-0000-00001B030000}"/>
    <cellStyle name="40% - Accent1 3" xfId="838" xr:uid="{00000000-0005-0000-0000-00001C030000}"/>
    <cellStyle name="40% - Accent1 4" xfId="839" xr:uid="{00000000-0005-0000-0000-00001D030000}"/>
    <cellStyle name="40% - Accent1 5" xfId="840" xr:uid="{00000000-0005-0000-0000-00001E030000}"/>
    <cellStyle name="40% - Accent2 2" xfId="841" xr:uid="{00000000-0005-0000-0000-00001F030000}"/>
    <cellStyle name="40% - Accent2 3" xfId="842" xr:uid="{00000000-0005-0000-0000-000020030000}"/>
    <cellStyle name="40% - Accent2 4" xfId="843" xr:uid="{00000000-0005-0000-0000-000021030000}"/>
    <cellStyle name="40% - Accent2 5" xfId="844" xr:uid="{00000000-0005-0000-0000-000022030000}"/>
    <cellStyle name="40% - Accent3 2" xfId="845" xr:uid="{00000000-0005-0000-0000-000023030000}"/>
    <cellStyle name="40% - Accent3 3" xfId="846" xr:uid="{00000000-0005-0000-0000-000024030000}"/>
    <cellStyle name="40% - Accent3 4" xfId="847" xr:uid="{00000000-0005-0000-0000-000025030000}"/>
    <cellStyle name="40% - Accent3 5" xfId="848" xr:uid="{00000000-0005-0000-0000-000026030000}"/>
    <cellStyle name="40% - Accent4 2" xfId="849" xr:uid="{00000000-0005-0000-0000-000027030000}"/>
    <cellStyle name="40% - Accent4 3" xfId="850" xr:uid="{00000000-0005-0000-0000-000028030000}"/>
    <cellStyle name="40% - Accent4 4" xfId="851" xr:uid="{00000000-0005-0000-0000-000029030000}"/>
    <cellStyle name="40% - Accent4 5" xfId="852" xr:uid="{00000000-0005-0000-0000-00002A030000}"/>
    <cellStyle name="40% - Accent5 2" xfId="853" xr:uid="{00000000-0005-0000-0000-00002B030000}"/>
    <cellStyle name="40% - Accent5 3" xfId="854" xr:uid="{00000000-0005-0000-0000-00002C030000}"/>
    <cellStyle name="40% - Accent5 4" xfId="855" xr:uid="{00000000-0005-0000-0000-00002D030000}"/>
    <cellStyle name="40% - Accent5 5" xfId="856" xr:uid="{00000000-0005-0000-0000-00002E030000}"/>
    <cellStyle name="40% - Accent6 2" xfId="857" xr:uid="{00000000-0005-0000-0000-00002F030000}"/>
    <cellStyle name="40% - Accent6 3" xfId="858" xr:uid="{00000000-0005-0000-0000-000030030000}"/>
    <cellStyle name="40% - Accent6 4" xfId="859" xr:uid="{00000000-0005-0000-0000-000031030000}"/>
    <cellStyle name="40% - Accent6 5" xfId="860" xr:uid="{00000000-0005-0000-0000-000032030000}"/>
    <cellStyle name="60% - Accent1 2" xfId="861" xr:uid="{00000000-0005-0000-0000-000033030000}"/>
    <cellStyle name="60% - Accent1 3" xfId="862" xr:uid="{00000000-0005-0000-0000-000034030000}"/>
    <cellStyle name="60% - Accent1 4" xfId="863" xr:uid="{00000000-0005-0000-0000-000035030000}"/>
    <cellStyle name="60% - Accent1 5" xfId="864" xr:uid="{00000000-0005-0000-0000-000036030000}"/>
    <cellStyle name="60% - Accent2 2" xfId="865" xr:uid="{00000000-0005-0000-0000-000037030000}"/>
    <cellStyle name="60% - Accent2 3" xfId="866" xr:uid="{00000000-0005-0000-0000-000038030000}"/>
    <cellStyle name="60% - Accent2 4" xfId="867" xr:uid="{00000000-0005-0000-0000-000039030000}"/>
    <cellStyle name="60% - Accent2 5" xfId="868" xr:uid="{00000000-0005-0000-0000-00003A030000}"/>
    <cellStyle name="60% - Accent3 2" xfId="869" xr:uid="{00000000-0005-0000-0000-00003B030000}"/>
    <cellStyle name="60% - Accent3 3" xfId="870" xr:uid="{00000000-0005-0000-0000-00003C030000}"/>
    <cellStyle name="60% - Accent3 4" xfId="871" xr:uid="{00000000-0005-0000-0000-00003D030000}"/>
    <cellStyle name="60% - Accent3 5" xfId="872" xr:uid="{00000000-0005-0000-0000-00003E030000}"/>
    <cellStyle name="60% - Accent4 2" xfId="873" xr:uid="{00000000-0005-0000-0000-00003F030000}"/>
    <cellStyle name="60% - Accent4 3" xfId="874" xr:uid="{00000000-0005-0000-0000-000040030000}"/>
    <cellStyle name="60% - Accent4 4" xfId="875" xr:uid="{00000000-0005-0000-0000-000041030000}"/>
    <cellStyle name="60% - Accent4 5" xfId="876" xr:uid="{00000000-0005-0000-0000-000042030000}"/>
    <cellStyle name="60% - Accent5 2" xfId="877" xr:uid="{00000000-0005-0000-0000-000043030000}"/>
    <cellStyle name="60% - Accent5 3" xfId="878" xr:uid="{00000000-0005-0000-0000-000044030000}"/>
    <cellStyle name="60% - Accent5 4" xfId="879" xr:uid="{00000000-0005-0000-0000-000045030000}"/>
    <cellStyle name="60% - Accent5 5" xfId="880" xr:uid="{00000000-0005-0000-0000-000046030000}"/>
    <cellStyle name="60% - Accent6 2" xfId="881" xr:uid="{00000000-0005-0000-0000-000047030000}"/>
    <cellStyle name="60% - Accent6 3" xfId="882" xr:uid="{00000000-0005-0000-0000-000048030000}"/>
    <cellStyle name="60% - Accent6 4" xfId="883" xr:uid="{00000000-0005-0000-0000-000049030000}"/>
    <cellStyle name="60% - Accent6 5" xfId="884" xr:uid="{00000000-0005-0000-0000-00004A030000}"/>
    <cellStyle name="Accent1 2" xfId="885" xr:uid="{00000000-0005-0000-0000-00004B030000}"/>
    <cellStyle name="Accent1 3" xfId="886" xr:uid="{00000000-0005-0000-0000-00004C030000}"/>
    <cellStyle name="Accent1 4" xfId="887" xr:uid="{00000000-0005-0000-0000-00004D030000}"/>
    <cellStyle name="Accent1 5" xfId="888" xr:uid="{00000000-0005-0000-0000-00004E030000}"/>
    <cellStyle name="Accent2 2" xfId="889" xr:uid="{00000000-0005-0000-0000-00004F030000}"/>
    <cellStyle name="Accent2 3" xfId="890" xr:uid="{00000000-0005-0000-0000-000050030000}"/>
    <cellStyle name="Accent2 4" xfId="891" xr:uid="{00000000-0005-0000-0000-000051030000}"/>
    <cellStyle name="Accent2 5" xfId="892" xr:uid="{00000000-0005-0000-0000-000052030000}"/>
    <cellStyle name="Accent3 2" xfId="893" xr:uid="{00000000-0005-0000-0000-000053030000}"/>
    <cellStyle name="Accent3 3" xfId="894" xr:uid="{00000000-0005-0000-0000-000054030000}"/>
    <cellStyle name="Accent3 4" xfId="895" xr:uid="{00000000-0005-0000-0000-000055030000}"/>
    <cellStyle name="Accent3 5" xfId="896" xr:uid="{00000000-0005-0000-0000-000056030000}"/>
    <cellStyle name="Accent4 2" xfId="897" xr:uid="{00000000-0005-0000-0000-000057030000}"/>
    <cellStyle name="Accent4 3" xfId="898" xr:uid="{00000000-0005-0000-0000-000058030000}"/>
    <cellStyle name="Accent4 4" xfId="899" xr:uid="{00000000-0005-0000-0000-000059030000}"/>
    <cellStyle name="Accent4 5" xfId="900" xr:uid="{00000000-0005-0000-0000-00005A030000}"/>
    <cellStyle name="Accent5 2" xfId="901" xr:uid="{00000000-0005-0000-0000-00005B030000}"/>
    <cellStyle name="Accent5 3" xfId="902" xr:uid="{00000000-0005-0000-0000-00005C030000}"/>
    <cellStyle name="Accent5 4" xfId="903" xr:uid="{00000000-0005-0000-0000-00005D030000}"/>
    <cellStyle name="Accent5 5" xfId="904" xr:uid="{00000000-0005-0000-0000-00005E030000}"/>
    <cellStyle name="Accent6 2" xfId="905" xr:uid="{00000000-0005-0000-0000-00005F030000}"/>
    <cellStyle name="Accent6 3" xfId="906" xr:uid="{00000000-0005-0000-0000-000060030000}"/>
    <cellStyle name="Accent6 4" xfId="907" xr:uid="{00000000-0005-0000-0000-000061030000}"/>
    <cellStyle name="Accent6 5" xfId="908" xr:uid="{00000000-0005-0000-0000-000062030000}"/>
    <cellStyle name="Bad 2" xfId="909" xr:uid="{00000000-0005-0000-0000-000063030000}"/>
    <cellStyle name="Bad 3" xfId="910" xr:uid="{00000000-0005-0000-0000-000064030000}"/>
    <cellStyle name="Bad 4" xfId="911" xr:uid="{00000000-0005-0000-0000-000065030000}"/>
    <cellStyle name="Bad 5" xfId="912" xr:uid="{00000000-0005-0000-0000-000066030000}"/>
    <cellStyle name="Bad 6" xfId="39" xr:uid="{00000000-0005-0000-0000-000067030000}"/>
    <cellStyle name="Calculation 2" xfId="913" xr:uid="{00000000-0005-0000-0000-000068030000}"/>
    <cellStyle name="Calculation 3" xfId="914" xr:uid="{00000000-0005-0000-0000-000069030000}"/>
    <cellStyle name="Calculation 4" xfId="915" xr:uid="{00000000-0005-0000-0000-00006A030000}"/>
    <cellStyle name="Calculation 5" xfId="916" xr:uid="{00000000-0005-0000-0000-00006B030000}"/>
    <cellStyle name="Check Cell 2" xfId="19" xr:uid="{00000000-0005-0000-0000-00006C030000}"/>
    <cellStyle name="Check Cell 2 2" xfId="28" xr:uid="{00000000-0005-0000-0000-00006D030000}"/>
    <cellStyle name="Check Cell 3" xfId="917" xr:uid="{00000000-0005-0000-0000-00006E030000}"/>
    <cellStyle name="Check Cell 4" xfId="918" xr:uid="{00000000-0005-0000-0000-00006F030000}"/>
    <cellStyle name="Check Cell 5" xfId="919" xr:uid="{00000000-0005-0000-0000-000070030000}"/>
    <cellStyle name="Check Cell 6" xfId="31" xr:uid="{00000000-0005-0000-0000-000071030000}"/>
    <cellStyle name="Check Cell 7" xfId="34" xr:uid="{00000000-0005-0000-0000-000072030000}"/>
    <cellStyle name="Comma [0] 2" xfId="920" xr:uid="{00000000-0005-0000-0000-000073030000}"/>
    <cellStyle name="Comma [0] 3" xfId="921" xr:uid="{00000000-0005-0000-0000-000074030000}"/>
    <cellStyle name="Comma [0] 3 2" xfId="922" xr:uid="{00000000-0005-0000-0000-000075030000}"/>
    <cellStyle name="Comma 10" xfId="923" xr:uid="{00000000-0005-0000-0000-000076030000}"/>
    <cellStyle name="Comma 10 2" xfId="924" xr:uid="{00000000-0005-0000-0000-000077030000}"/>
    <cellStyle name="Comma 11" xfId="925" xr:uid="{00000000-0005-0000-0000-000078030000}"/>
    <cellStyle name="Comma 12" xfId="926" xr:uid="{00000000-0005-0000-0000-000079030000}"/>
    <cellStyle name="Comma 12 2" xfId="927" xr:uid="{00000000-0005-0000-0000-00007A030000}"/>
    <cellStyle name="Comma 13" xfId="928" xr:uid="{00000000-0005-0000-0000-00007B030000}"/>
    <cellStyle name="Comma 13 2" xfId="929" xr:uid="{00000000-0005-0000-0000-00007C030000}"/>
    <cellStyle name="Comma 14" xfId="930" xr:uid="{00000000-0005-0000-0000-00007D030000}"/>
    <cellStyle name="Comma 14 2" xfId="931" xr:uid="{00000000-0005-0000-0000-00007E030000}"/>
    <cellStyle name="Comma 2" xfId="6" xr:uid="{00000000-0005-0000-0000-00007F030000}"/>
    <cellStyle name="Comma 2 2" xfId="18" xr:uid="{00000000-0005-0000-0000-000080030000}"/>
    <cellStyle name="Comma 2 3" xfId="932" xr:uid="{00000000-0005-0000-0000-000081030000}"/>
    <cellStyle name="Comma 3" xfId="40" xr:uid="{00000000-0005-0000-0000-000082030000}"/>
    <cellStyle name="Comma 3 2" xfId="933" xr:uid="{00000000-0005-0000-0000-000083030000}"/>
    <cellStyle name="Comma 3 2 2" xfId="934" xr:uid="{00000000-0005-0000-0000-000084030000}"/>
    <cellStyle name="Comma 3 3" xfId="935" xr:uid="{00000000-0005-0000-0000-000085030000}"/>
    <cellStyle name="Comma 3 4" xfId="936" xr:uid="{00000000-0005-0000-0000-000086030000}"/>
    <cellStyle name="Comma 3 4 2" xfId="937" xr:uid="{00000000-0005-0000-0000-000087030000}"/>
    <cellStyle name="Comma 4" xfId="938" xr:uid="{00000000-0005-0000-0000-000088030000}"/>
    <cellStyle name="Comma 4 2" xfId="939" xr:uid="{00000000-0005-0000-0000-000089030000}"/>
    <cellStyle name="Comma 4 2 2" xfId="940" xr:uid="{00000000-0005-0000-0000-00008A030000}"/>
    <cellStyle name="Comma 4 3" xfId="941" xr:uid="{00000000-0005-0000-0000-00008B030000}"/>
    <cellStyle name="Comma 5" xfId="942" xr:uid="{00000000-0005-0000-0000-00008C030000}"/>
    <cellStyle name="Comma 5 2" xfId="943" xr:uid="{00000000-0005-0000-0000-00008D030000}"/>
    <cellStyle name="Comma 6" xfId="944" xr:uid="{00000000-0005-0000-0000-00008E030000}"/>
    <cellStyle name="Comma 7" xfId="945" xr:uid="{00000000-0005-0000-0000-00008F030000}"/>
    <cellStyle name="Comma 8" xfId="946" xr:uid="{00000000-0005-0000-0000-000090030000}"/>
    <cellStyle name="Comma 9" xfId="947" xr:uid="{00000000-0005-0000-0000-000091030000}"/>
    <cellStyle name="Currency 11" xfId="948" xr:uid="{00000000-0005-0000-0000-000092030000}"/>
    <cellStyle name="Currency 2" xfId="949" xr:uid="{00000000-0005-0000-0000-000093030000}"/>
    <cellStyle name="Currency 2 2" xfId="950" xr:uid="{00000000-0005-0000-0000-000094030000}"/>
    <cellStyle name="Currency 2 3" xfId="951" xr:uid="{00000000-0005-0000-0000-000095030000}"/>
    <cellStyle name="Currency 3" xfId="952" xr:uid="{00000000-0005-0000-0000-000096030000}"/>
    <cellStyle name="Currency 4" xfId="953" xr:uid="{00000000-0005-0000-0000-000097030000}"/>
    <cellStyle name="Date" xfId="954" xr:uid="{00000000-0005-0000-0000-000098030000}"/>
    <cellStyle name="DELTA" xfId="955" xr:uid="{00000000-0005-0000-0000-000099030000}"/>
    <cellStyle name="Euro" xfId="956" xr:uid="{00000000-0005-0000-0000-00009A030000}"/>
    <cellStyle name="Explanatory Text 2" xfId="957" xr:uid="{00000000-0005-0000-0000-00009B030000}"/>
    <cellStyle name="Explanatory Text 3" xfId="958" xr:uid="{00000000-0005-0000-0000-00009C030000}"/>
    <cellStyle name="Explanatory Text 4" xfId="959" xr:uid="{00000000-0005-0000-0000-00009D030000}"/>
    <cellStyle name="Explanatory Text 5" xfId="960" xr:uid="{00000000-0005-0000-0000-00009E030000}"/>
    <cellStyle name="EY # Input" xfId="1162" xr:uid="{00000000-0005-0000-0000-00009F030000}"/>
    <cellStyle name="Good 2" xfId="961" xr:uid="{00000000-0005-0000-0000-0000A0030000}"/>
    <cellStyle name="Good 3" xfId="962" xr:uid="{00000000-0005-0000-0000-0000A1030000}"/>
    <cellStyle name="Good 4" xfId="963" xr:uid="{00000000-0005-0000-0000-0000A2030000}"/>
    <cellStyle name="Good 5" xfId="964" xr:uid="{00000000-0005-0000-0000-0000A3030000}"/>
    <cellStyle name="Grey" xfId="965" xr:uid="{00000000-0005-0000-0000-0000A4030000}"/>
    <cellStyle name="GreyOrWhite" xfId="2" xr:uid="{00000000-0005-0000-0000-0000A5030000}"/>
    <cellStyle name="Header1" xfId="966" xr:uid="{00000000-0005-0000-0000-0000A6030000}"/>
    <cellStyle name="Header2" xfId="967" xr:uid="{00000000-0005-0000-0000-0000A7030000}"/>
    <cellStyle name="Heading 1 2" xfId="968" xr:uid="{00000000-0005-0000-0000-0000A8030000}"/>
    <cellStyle name="Heading 1 3" xfId="969" xr:uid="{00000000-0005-0000-0000-0000A9030000}"/>
    <cellStyle name="Heading 1 4" xfId="970" xr:uid="{00000000-0005-0000-0000-0000AA030000}"/>
    <cellStyle name="Heading 2 2" xfId="971" xr:uid="{00000000-0005-0000-0000-0000AB030000}"/>
    <cellStyle name="Heading 2 3" xfId="972" xr:uid="{00000000-0005-0000-0000-0000AC030000}"/>
    <cellStyle name="Heading 2 4" xfId="973" xr:uid="{00000000-0005-0000-0000-0000AD030000}"/>
    <cellStyle name="Heading 3 2" xfId="974" xr:uid="{00000000-0005-0000-0000-0000AE030000}"/>
    <cellStyle name="Heading 3 3" xfId="975" xr:uid="{00000000-0005-0000-0000-0000AF030000}"/>
    <cellStyle name="Heading 3 4" xfId="976" xr:uid="{00000000-0005-0000-0000-0000B0030000}"/>
    <cellStyle name="Heading 4 2" xfId="977" xr:uid="{00000000-0005-0000-0000-0000B1030000}"/>
    <cellStyle name="Heading 4 3" xfId="978" xr:uid="{00000000-0005-0000-0000-0000B2030000}"/>
    <cellStyle name="Heading 4 4" xfId="979" xr:uid="{00000000-0005-0000-0000-0000B3030000}"/>
    <cellStyle name="Hyperlink" xfId="5" builtinId="8"/>
    <cellStyle name="Hyperlink 2" xfId="980" xr:uid="{00000000-0005-0000-0000-0000B5030000}"/>
    <cellStyle name="Input 2" xfId="981" xr:uid="{00000000-0005-0000-0000-0000B6030000}"/>
    <cellStyle name="Input 3" xfId="982" xr:uid="{00000000-0005-0000-0000-0000B7030000}"/>
    <cellStyle name="Input 4" xfId="983" xr:uid="{00000000-0005-0000-0000-0000B8030000}"/>
    <cellStyle name="Input 5" xfId="984" xr:uid="{00000000-0005-0000-0000-0000B9030000}"/>
    <cellStyle name="Input 6" xfId="38" xr:uid="{00000000-0005-0000-0000-0000BA030000}"/>
    <cellStyle name="Linked Cell 2" xfId="985" xr:uid="{00000000-0005-0000-0000-0000BB030000}"/>
    <cellStyle name="Linked Cell 3" xfId="986" xr:uid="{00000000-0005-0000-0000-0000BC030000}"/>
    <cellStyle name="Linked Cell 4" xfId="987" xr:uid="{00000000-0005-0000-0000-0000BD030000}"/>
    <cellStyle name="Linked Cell 5" xfId="988" xr:uid="{00000000-0005-0000-0000-0000BE030000}"/>
    <cellStyle name="MAX DATE TABLES" xfId="30" xr:uid="{00000000-0005-0000-0000-0000BF030000}"/>
    <cellStyle name="Neutral 2" xfId="989" xr:uid="{00000000-0005-0000-0000-0000C0030000}"/>
    <cellStyle name="Neutral 3" xfId="990" xr:uid="{00000000-0005-0000-0000-0000C1030000}"/>
    <cellStyle name="Neutral 4" xfId="991" xr:uid="{00000000-0005-0000-0000-0000C2030000}"/>
    <cellStyle name="Neutral 5" xfId="992" xr:uid="{00000000-0005-0000-0000-0000C3030000}"/>
    <cellStyle name="Normal" xfId="0" builtinId="0"/>
    <cellStyle name="Normal 10" xfId="993" xr:uid="{00000000-0005-0000-0000-0000C5030000}"/>
    <cellStyle name="Normal 11" xfId="994" xr:uid="{00000000-0005-0000-0000-0000C6030000}"/>
    <cellStyle name="Normal 11 2" xfId="995" xr:uid="{00000000-0005-0000-0000-0000C7030000}"/>
    <cellStyle name="Normal 11 3" xfId="996" xr:uid="{00000000-0005-0000-0000-0000C8030000}"/>
    <cellStyle name="Normal 12" xfId="997" xr:uid="{00000000-0005-0000-0000-0000C9030000}"/>
    <cellStyle name="Normal 12 2" xfId="998" xr:uid="{00000000-0005-0000-0000-0000CA030000}"/>
    <cellStyle name="Normal 12 3" xfId="999" xr:uid="{00000000-0005-0000-0000-0000CB030000}"/>
    <cellStyle name="Normal 13" xfId="1000" xr:uid="{00000000-0005-0000-0000-0000CC030000}"/>
    <cellStyle name="Normal 13 2" xfId="1001" xr:uid="{00000000-0005-0000-0000-0000CD030000}"/>
    <cellStyle name="Normal 13 3" xfId="1002" xr:uid="{00000000-0005-0000-0000-0000CE030000}"/>
    <cellStyle name="Normal 14" xfId="1003" xr:uid="{00000000-0005-0000-0000-0000CF030000}"/>
    <cellStyle name="Normal 15" xfId="1004" xr:uid="{00000000-0005-0000-0000-0000D0030000}"/>
    <cellStyle name="Normal 16" xfId="1005" xr:uid="{00000000-0005-0000-0000-0000D1030000}"/>
    <cellStyle name="Normal 17" xfId="1164" xr:uid="{00000000-0005-0000-0000-0000D2030000}"/>
    <cellStyle name="Normal 2" xfId="4" xr:uid="{00000000-0005-0000-0000-0000D3030000}"/>
    <cellStyle name="Normal 2 10" xfId="1006" xr:uid="{00000000-0005-0000-0000-0000D4030000}"/>
    <cellStyle name="Normal 2 2" xfId="1007" xr:uid="{00000000-0005-0000-0000-0000D5030000}"/>
    <cellStyle name="Normal 2 2 2" xfId="1008" xr:uid="{00000000-0005-0000-0000-0000D6030000}"/>
    <cellStyle name="Normal 2 2 2 2" xfId="1009" xr:uid="{00000000-0005-0000-0000-0000D7030000}"/>
    <cellStyle name="Normal 2 2 2 3" xfId="1010" xr:uid="{00000000-0005-0000-0000-0000D8030000}"/>
    <cellStyle name="Normal 2 2 3" xfId="1011" xr:uid="{00000000-0005-0000-0000-0000D9030000}"/>
    <cellStyle name="Normal 2 2 3 2" xfId="1012" xr:uid="{00000000-0005-0000-0000-0000DA030000}"/>
    <cellStyle name="Normal 2 2 3 3" xfId="1013" xr:uid="{00000000-0005-0000-0000-0000DB030000}"/>
    <cellStyle name="Normal 2 2 4" xfId="1014" xr:uid="{00000000-0005-0000-0000-0000DC030000}"/>
    <cellStyle name="Normal 2 2 5" xfId="1015" xr:uid="{00000000-0005-0000-0000-0000DD030000}"/>
    <cellStyle name="Normal 2 3" xfId="1016" xr:uid="{00000000-0005-0000-0000-0000DE030000}"/>
    <cellStyle name="Normal 2 3 2" xfId="1017" xr:uid="{00000000-0005-0000-0000-0000DF030000}"/>
    <cellStyle name="Normal 2 3 3" xfId="1018" xr:uid="{00000000-0005-0000-0000-0000E0030000}"/>
    <cellStyle name="Normal 2 4" xfId="1019" xr:uid="{00000000-0005-0000-0000-0000E1030000}"/>
    <cellStyle name="Normal 2 5" xfId="1020" xr:uid="{00000000-0005-0000-0000-0000E2030000}"/>
    <cellStyle name="Normal 2 6" xfId="1021" xr:uid="{00000000-0005-0000-0000-0000E3030000}"/>
    <cellStyle name="Normal 2 7" xfId="1163" xr:uid="{00000000-0005-0000-0000-0000E4030000}"/>
    <cellStyle name="Normal 3" xfId="1022" xr:uid="{00000000-0005-0000-0000-0000E5030000}"/>
    <cellStyle name="Normal 3 2" xfId="1023" xr:uid="{00000000-0005-0000-0000-0000E6030000}"/>
    <cellStyle name="Normal 3 2 2" xfId="1024" xr:uid="{00000000-0005-0000-0000-0000E7030000}"/>
    <cellStyle name="Normal 3 3" xfId="1025" xr:uid="{00000000-0005-0000-0000-0000E8030000}"/>
    <cellStyle name="Normal 3 4" xfId="1026" xr:uid="{00000000-0005-0000-0000-0000E9030000}"/>
    <cellStyle name="Normal 35" xfId="1027" xr:uid="{00000000-0005-0000-0000-0000EA030000}"/>
    <cellStyle name="Normal 4" xfId="1028" xr:uid="{00000000-0005-0000-0000-0000EB030000}"/>
    <cellStyle name="Normal 4 2" xfId="1029" xr:uid="{00000000-0005-0000-0000-0000EC030000}"/>
    <cellStyle name="Normal 5" xfId="1030" xr:uid="{00000000-0005-0000-0000-0000ED030000}"/>
    <cellStyle name="Normal 5 2" xfId="1031" xr:uid="{00000000-0005-0000-0000-0000EE030000}"/>
    <cellStyle name="Normal 5 2 2" xfId="1032" xr:uid="{00000000-0005-0000-0000-0000EF030000}"/>
    <cellStyle name="Normal 5 2 3" xfId="1033" xr:uid="{00000000-0005-0000-0000-0000F0030000}"/>
    <cellStyle name="Normal 5 3" xfId="1034" xr:uid="{00000000-0005-0000-0000-0000F1030000}"/>
    <cellStyle name="Normal 5 3 2" xfId="1035" xr:uid="{00000000-0005-0000-0000-0000F2030000}"/>
    <cellStyle name="Normal 5 3 3" xfId="1036" xr:uid="{00000000-0005-0000-0000-0000F3030000}"/>
    <cellStyle name="Normal 5 4" xfId="1037" xr:uid="{00000000-0005-0000-0000-0000F4030000}"/>
    <cellStyle name="Normal 5 5" xfId="1038" xr:uid="{00000000-0005-0000-0000-0000F5030000}"/>
    <cellStyle name="Normal 5 6" xfId="1039" xr:uid="{00000000-0005-0000-0000-0000F6030000}"/>
    <cellStyle name="Normal 6" xfId="1040" xr:uid="{00000000-0005-0000-0000-0000F7030000}"/>
    <cellStyle name="Normal 6 2" xfId="1041" xr:uid="{00000000-0005-0000-0000-0000F8030000}"/>
    <cellStyle name="Normal 6 3" xfId="1042" xr:uid="{00000000-0005-0000-0000-0000F9030000}"/>
    <cellStyle name="Normal 6 4" xfId="1043" xr:uid="{00000000-0005-0000-0000-0000FA030000}"/>
    <cellStyle name="Normal 6 5" xfId="1044" xr:uid="{00000000-0005-0000-0000-0000FB030000}"/>
    <cellStyle name="Normal 6 6" xfId="1045" xr:uid="{00000000-0005-0000-0000-0000FC030000}"/>
    <cellStyle name="Normal 6 7" xfId="1046" xr:uid="{00000000-0005-0000-0000-0000FD030000}"/>
    <cellStyle name="Normal 6 8" xfId="1047" xr:uid="{00000000-0005-0000-0000-0000FE030000}"/>
    <cellStyle name="Normal 7" xfId="1048" xr:uid="{00000000-0005-0000-0000-0000FF030000}"/>
    <cellStyle name="Normal 7 2" xfId="1049" xr:uid="{00000000-0005-0000-0000-000000040000}"/>
    <cellStyle name="Normal 7 3" xfId="1050" xr:uid="{00000000-0005-0000-0000-000001040000}"/>
    <cellStyle name="Normal 8" xfId="1051" xr:uid="{00000000-0005-0000-0000-000002040000}"/>
    <cellStyle name="Normal 9" xfId="1052" xr:uid="{00000000-0005-0000-0000-000003040000}"/>
    <cellStyle name="Note 2" xfId="1053" xr:uid="{00000000-0005-0000-0000-000004040000}"/>
    <cellStyle name="Note 3" xfId="1054" xr:uid="{00000000-0005-0000-0000-000005040000}"/>
    <cellStyle name="Note 4" xfId="1055" xr:uid="{00000000-0005-0000-0000-000006040000}"/>
    <cellStyle name="Note 5" xfId="1056" xr:uid="{00000000-0005-0000-0000-000007040000}"/>
    <cellStyle name="Output 2" xfId="1057" xr:uid="{00000000-0005-0000-0000-000008040000}"/>
    <cellStyle name="Output 3" xfId="1058" xr:uid="{00000000-0005-0000-0000-000009040000}"/>
    <cellStyle name="Output 4" xfId="1059" xr:uid="{00000000-0005-0000-0000-00000A040000}"/>
    <cellStyle name="Output 5" xfId="1060" xr:uid="{00000000-0005-0000-0000-00000B040000}"/>
    <cellStyle name="Per cent" xfId="1160" builtinId="5"/>
    <cellStyle name="Percent 10" xfId="1061" xr:uid="{00000000-0005-0000-0000-00000D040000}"/>
    <cellStyle name="Percent 2" xfId="21" xr:uid="{00000000-0005-0000-0000-00000E040000}"/>
    <cellStyle name="Percent 2 2" xfId="1062" xr:uid="{00000000-0005-0000-0000-00000F040000}"/>
    <cellStyle name="Percent 2 2 2" xfId="1063" xr:uid="{00000000-0005-0000-0000-000010040000}"/>
    <cellStyle name="Percent 2 2 3" xfId="1064" xr:uid="{00000000-0005-0000-0000-000011040000}"/>
    <cellStyle name="Percent 2 2 4" xfId="33" xr:uid="{00000000-0005-0000-0000-000012040000}"/>
    <cellStyle name="Percent 2 3" xfId="1065" xr:uid="{00000000-0005-0000-0000-000013040000}"/>
    <cellStyle name="Percent 3" xfId="37" xr:uid="{00000000-0005-0000-0000-000014040000}"/>
    <cellStyle name="Percent 3 2" xfId="1066" xr:uid="{00000000-0005-0000-0000-000015040000}"/>
    <cellStyle name="Percent 3 2 2" xfId="1067" xr:uid="{00000000-0005-0000-0000-000016040000}"/>
    <cellStyle name="Percent 3 2 3" xfId="1068" xr:uid="{00000000-0005-0000-0000-000017040000}"/>
    <cellStyle name="Percent 3 3" xfId="1069" xr:uid="{00000000-0005-0000-0000-000018040000}"/>
    <cellStyle name="Percent 3 3 2" xfId="1070" xr:uid="{00000000-0005-0000-0000-000019040000}"/>
    <cellStyle name="Percent 3 3 3" xfId="1071" xr:uid="{00000000-0005-0000-0000-00001A040000}"/>
    <cellStyle name="Percent 3 4" xfId="1072" xr:uid="{00000000-0005-0000-0000-00001B040000}"/>
    <cellStyle name="Percent 3 5" xfId="1073" xr:uid="{00000000-0005-0000-0000-00001C040000}"/>
    <cellStyle name="Percent 4" xfId="1074" xr:uid="{00000000-0005-0000-0000-00001D040000}"/>
    <cellStyle name="Percent 4 2" xfId="1075" xr:uid="{00000000-0005-0000-0000-00001E040000}"/>
    <cellStyle name="Percent 5" xfId="1076" xr:uid="{00000000-0005-0000-0000-00001F040000}"/>
    <cellStyle name="Percent 5 2" xfId="1077" xr:uid="{00000000-0005-0000-0000-000020040000}"/>
    <cellStyle name="Percent 5 3" xfId="1078" xr:uid="{00000000-0005-0000-0000-000021040000}"/>
    <cellStyle name="Percent 6" xfId="1079" xr:uid="{00000000-0005-0000-0000-000022040000}"/>
    <cellStyle name="Percent 6 2" xfId="1080" xr:uid="{00000000-0005-0000-0000-000023040000}"/>
    <cellStyle name="Percent 7" xfId="1081" xr:uid="{00000000-0005-0000-0000-000024040000}"/>
    <cellStyle name="Percent 8" xfId="1082" xr:uid="{00000000-0005-0000-0000-000025040000}"/>
    <cellStyle name="Percent 9" xfId="1083" xr:uid="{00000000-0005-0000-0000-000026040000}"/>
    <cellStyle name="Percent 9 2" xfId="1084" xr:uid="{00000000-0005-0000-0000-000027040000}"/>
    <cellStyle name="SAPBEXaggData" xfId="1085" xr:uid="{00000000-0005-0000-0000-000028040000}"/>
    <cellStyle name="SAPBEXaggDataEmph" xfId="1086" xr:uid="{00000000-0005-0000-0000-000029040000}"/>
    <cellStyle name="SAPBEXaggItem" xfId="1087" xr:uid="{00000000-0005-0000-0000-00002A040000}"/>
    <cellStyle name="SAPBEXchaText" xfId="1088" xr:uid="{00000000-0005-0000-0000-00002B040000}"/>
    <cellStyle name="SAPBEXexcBad7" xfId="1089" xr:uid="{00000000-0005-0000-0000-00002C040000}"/>
    <cellStyle name="SAPBEXexcBad8" xfId="1090" xr:uid="{00000000-0005-0000-0000-00002D040000}"/>
    <cellStyle name="SAPBEXexcBad9" xfId="1091" xr:uid="{00000000-0005-0000-0000-00002E040000}"/>
    <cellStyle name="SAPBEXexcCritical4" xfId="1092" xr:uid="{00000000-0005-0000-0000-00002F040000}"/>
    <cellStyle name="SAPBEXexcCritical5" xfId="1093" xr:uid="{00000000-0005-0000-0000-000030040000}"/>
    <cellStyle name="SAPBEXexcCritical6" xfId="1094" xr:uid="{00000000-0005-0000-0000-000031040000}"/>
    <cellStyle name="SAPBEXexcGood1" xfId="1095" xr:uid="{00000000-0005-0000-0000-000032040000}"/>
    <cellStyle name="SAPBEXexcGood2" xfId="1096" xr:uid="{00000000-0005-0000-0000-000033040000}"/>
    <cellStyle name="SAPBEXexcGood3" xfId="1097" xr:uid="{00000000-0005-0000-0000-000034040000}"/>
    <cellStyle name="SAPBEXfilterDrill" xfId="1098" xr:uid="{00000000-0005-0000-0000-000035040000}"/>
    <cellStyle name="SAPBEXfilterItem" xfId="1099" xr:uid="{00000000-0005-0000-0000-000036040000}"/>
    <cellStyle name="SAPBEXfilterText" xfId="1100" xr:uid="{00000000-0005-0000-0000-000037040000}"/>
    <cellStyle name="SAPBEXformats" xfId="1101" xr:uid="{00000000-0005-0000-0000-000038040000}"/>
    <cellStyle name="SAPBEXheaderItem" xfId="1102" xr:uid="{00000000-0005-0000-0000-000039040000}"/>
    <cellStyle name="SAPBEXheaderText" xfId="1103" xr:uid="{00000000-0005-0000-0000-00003A040000}"/>
    <cellStyle name="SAPBEXresData" xfId="1104" xr:uid="{00000000-0005-0000-0000-00003B040000}"/>
    <cellStyle name="SAPBEXresDataEmph" xfId="1105" xr:uid="{00000000-0005-0000-0000-00003C040000}"/>
    <cellStyle name="SAPBEXresItem" xfId="1106" xr:uid="{00000000-0005-0000-0000-00003D040000}"/>
    <cellStyle name="SAPBEXstdData" xfId="1107" xr:uid="{00000000-0005-0000-0000-00003E040000}"/>
    <cellStyle name="SAPBEXstdDataEmph" xfId="1108" xr:uid="{00000000-0005-0000-0000-00003F040000}"/>
    <cellStyle name="SAPBEXstdItem" xfId="1109" xr:uid="{00000000-0005-0000-0000-000040040000}"/>
    <cellStyle name="SAPBEXtitle" xfId="1110" xr:uid="{00000000-0005-0000-0000-000041040000}"/>
    <cellStyle name="SAPBEXundefined" xfId="1111" xr:uid="{00000000-0005-0000-0000-000042040000}"/>
    <cellStyle name="Smart Bold" xfId="8" xr:uid="{00000000-0005-0000-0000-000043040000}"/>
    <cellStyle name="Smart Forecast" xfId="9" xr:uid="{00000000-0005-0000-0000-000044040000}"/>
    <cellStyle name="Smart Forecast 2" xfId="36" xr:uid="{00000000-0005-0000-0000-000045040000}"/>
    <cellStyle name="Smart General" xfId="10" xr:uid="{00000000-0005-0000-0000-000046040000}"/>
    <cellStyle name="Smart Highlight" xfId="11" xr:uid="{00000000-0005-0000-0000-000047040000}"/>
    <cellStyle name="Smart Percent" xfId="12" xr:uid="{00000000-0005-0000-0000-000048040000}"/>
    <cellStyle name="Smart Source" xfId="13" xr:uid="{00000000-0005-0000-0000-000049040000}"/>
    <cellStyle name="Smart Source 2" xfId="23" xr:uid="{00000000-0005-0000-0000-00004A040000}"/>
    <cellStyle name="Smart Source 3" xfId="1112" xr:uid="{00000000-0005-0000-0000-00004B040000}"/>
    <cellStyle name="Smart Source 4" xfId="26" xr:uid="{00000000-0005-0000-0000-00004C040000}"/>
    <cellStyle name="Smart Subtitle 1" xfId="14" xr:uid="{00000000-0005-0000-0000-00004D040000}"/>
    <cellStyle name="Smart Subtitle 1 2" xfId="20" xr:uid="{00000000-0005-0000-0000-00004E040000}"/>
    <cellStyle name="Smart Subtitle 1 3" xfId="35" xr:uid="{00000000-0005-0000-0000-00004F040000}"/>
    <cellStyle name="Smart Subtitle 1 3 2" xfId="27" xr:uid="{00000000-0005-0000-0000-000050040000}"/>
    <cellStyle name="Smart Subtitle 2" xfId="7" xr:uid="{00000000-0005-0000-0000-000051040000}"/>
    <cellStyle name="Smart Subtitle 2 2" xfId="41" xr:uid="{00000000-0005-0000-0000-000052040000}"/>
    <cellStyle name="Smart Subtitle 3" xfId="1113" xr:uid="{00000000-0005-0000-0000-000053040000}"/>
    <cellStyle name="Smart Subtotal" xfId="15" xr:uid="{00000000-0005-0000-0000-000054040000}"/>
    <cellStyle name="Smart Title" xfId="3" xr:uid="{00000000-0005-0000-0000-000055040000}"/>
    <cellStyle name="Smart Title 10" xfId="25" xr:uid="{00000000-0005-0000-0000-000056040000}"/>
    <cellStyle name="Smart Title 11" xfId="32" xr:uid="{00000000-0005-0000-0000-000057040000}"/>
    <cellStyle name="Smart Title 2" xfId="17" xr:uid="{00000000-0005-0000-0000-000058040000}"/>
    <cellStyle name="Smart Title 3" xfId="1114" xr:uid="{00000000-0005-0000-0000-000059040000}"/>
    <cellStyle name="Smart Title 4" xfId="1115" xr:uid="{00000000-0005-0000-0000-00005A040000}"/>
    <cellStyle name="Smart Title 5" xfId="1116" xr:uid="{00000000-0005-0000-0000-00005B040000}"/>
    <cellStyle name="Smart Title 6" xfId="1117" xr:uid="{00000000-0005-0000-0000-00005C040000}"/>
    <cellStyle name="Smart Title 6 2" xfId="24" xr:uid="{00000000-0005-0000-0000-00005D040000}"/>
    <cellStyle name="Smart Title 7" xfId="1118" xr:uid="{00000000-0005-0000-0000-00005E040000}"/>
    <cellStyle name="Smart Title 8" xfId="1119" xr:uid="{00000000-0005-0000-0000-00005F040000}"/>
    <cellStyle name="Smart Title 9" xfId="1120" xr:uid="{00000000-0005-0000-0000-000060040000}"/>
    <cellStyle name="Smart Total" xfId="16" xr:uid="{00000000-0005-0000-0000-000061040000}"/>
    <cellStyle name="Smart Total 2" xfId="22" xr:uid="{00000000-0005-0000-0000-000062040000}"/>
    <cellStyle name="Smart Total 2 2" xfId="1121" xr:uid="{00000000-0005-0000-0000-000063040000}"/>
    <cellStyle name="Smart Total 3" xfId="29" xr:uid="{00000000-0005-0000-0000-000064040000}"/>
    <cellStyle name="Standard_ACS 18 a Intercompany forms" xfId="1122" xr:uid="{00000000-0005-0000-0000-000065040000}"/>
    <cellStyle name="stockanalysis" xfId="1123" xr:uid="{00000000-0005-0000-0000-000066040000}"/>
    <cellStyle name="Style 1" xfId="1124" xr:uid="{00000000-0005-0000-0000-000067040000}"/>
    <cellStyle name="Total 2" xfId="1125" xr:uid="{00000000-0005-0000-0000-000068040000}"/>
    <cellStyle name="Total 3" xfId="1126" xr:uid="{00000000-0005-0000-0000-000069040000}"/>
    <cellStyle name="Total 4" xfId="1127" xr:uid="{00000000-0005-0000-0000-00006A040000}"/>
    <cellStyle name="Total 5" xfId="1128" xr:uid="{00000000-0005-0000-0000-00006B040000}"/>
    <cellStyle name="Warning Text 2" xfId="1129" xr:uid="{00000000-0005-0000-0000-00006C040000}"/>
    <cellStyle name="Warning Text 3" xfId="1130" xr:uid="{00000000-0005-0000-0000-00006D040000}"/>
    <cellStyle name="Warning Text 4" xfId="1131" xr:uid="{00000000-0005-0000-0000-00006E040000}"/>
    <cellStyle name="Warning Text 5" xfId="1132" xr:uid="{00000000-0005-0000-0000-00006F040000}"/>
    <cellStyle name="Y.check" xfId="1161" xr:uid="{00000000-0005-0000-0000-000070040000}"/>
    <cellStyle name="Yellow" xfId="1" xr:uid="{00000000-0005-0000-0000-000071040000}"/>
    <cellStyle name="ハイパーリンク 2" xfId="1133" xr:uid="{00000000-0005-0000-0000-000072040000}"/>
    <cellStyle name="一般_GLREC_151_0303" xfId="1134" xr:uid="{00000000-0005-0000-0000-000073040000}"/>
    <cellStyle name="桁区切り [0.00] 3" xfId="1135" xr:uid="{00000000-0005-0000-0000-000074040000}"/>
    <cellStyle name="桁区切り 2" xfId="1136" xr:uid="{00000000-0005-0000-0000-000075040000}"/>
    <cellStyle name="桁区切り 3" xfId="1137" xr:uid="{00000000-0005-0000-0000-000076040000}"/>
    <cellStyle name="桁区切り 3 2" xfId="1138" xr:uid="{00000000-0005-0000-0000-000077040000}"/>
    <cellStyle name="桁区切り 4" xfId="1139" xr:uid="{00000000-0005-0000-0000-000078040000}"/>
    <cellStyle name="桁区切り 5" xfId="1140" xr:uid="{00000000-0005-0000-0000-000079040000}"/>
    <cellStyle name="桁区切り 5 2" xfId="1141" xr:uid="{00000000-0005-0000-0000-00007A040000}"/>
    <cellStyle name="桁区切り 6" xfId="1142" xr:uid="{00000000-0005-0000-0000-00007B040000}"/>
    <cellStyle name="標準 10" xfId="1143" xr:uid="{00000000-0005-0000-0000-00007C040000}"/>
    <cellStyle name="標準 11" xfId="1144" xr:uid="{00000000-0005-0000-0000-00007D040000}"/>
    <cellStyle name="標準 12" xfId="1145" xr:uid="{00000000-0005-0000-0000-00007E040000}"/>
    <cellStyle name="標準 13" xfId="1146" xr:uid="{00000000-0005-0000-0000-00007F040000}"/>
    <cellStyle name="標準 14" xfId="1147" xr:uid="{00000000-0005-0000-0000-000080040000}"/>
    <cellStyle name="標準 15" xfId="1148" xr:uid="{00000000-0005-0000-0000-000081040000}"/>
    <cellStyle name="標準 16" xfId="1149" xr:uid="{00000000-0005-0000-0000-000082040000}"/>
    <cellStyle name="標準 2" xfId="1150" xr:uid="{00000000-0005-0000-0000-000083040000}"/>
    <cellStyle name="標準 2 2" xfId="1151" xr:uid="{00000000-0005-0000-0000-000084040000}"/>
    <cellStyle name="標準 3" xfId="1152" xr:uid="{00000000-0005-0000-0000-000085040000}"/>
    <cellStyle name="標準 4" xfId="1153" xr:uid="{00000000-0005-0000-0000-000086040000}"/>
    <cellStyle name="標準 5" xfId="1154" xr:uid="{00000000-0005-0000-0000-000087040000}"/>
    <cellStyle name="標準 6" xfId="1155" xr:uid="{00000000-0005-0000-0000-000088040000}"/>
    <cellStyle name="標準 7" xfId="1156" xr:uid="{00000000-0005-0000-0000-000089040000}"/>
    <cellStyle name="標準 8" xfId="1157" xr:uid="{00000000-0005-0000-0000-00008A040000}"/>
    <cellStyle name="標準 9" xfId="1158" xr:uid="{00000000-0005-0000-0000-00008B040000}"/>
    <cellStyle name="標準 9 2" xfId="1159" xr:uid="{00000000-0005-0000-0000-00008C040000}"/>
  </cellStyles>
  <dxfs count="5">
    <dxf>
      <font>
        <strike val="0"/>
        <color rgb="FFFFFF66"/>
      </font>
      <fill>
        <patternFill>
          <bgColor theme="0" tint="-0.14996795556505021"/>
        </patternFill>
      </fill>
    </dxf>
    <dxf>
      <font>
        <strike val="0"/>
        <color rgb="FFFFFF66"/>
      </font>
      <fill>
        <patternFill>
          <bgColor theme="0" tint="-0.14996795556505021"/>
        </patternFill>
      </fill>
    </dxf>
    <dxf>
      <font>
        <strike val="0"/>
        <color rgb="FFFFFF66"/>
      </font>
      <fill>
        <patternFill>
          <bgColor theme="0" tint="-0.14996795556505021"/>
        </patternFill>
      </fill>
    </dxf>
    <dxf>
      <font>
        <strike val="0"/>
        <color rgb="FFFFFF66"/>
      </font>
      <fill>
        <patternFill>
          <bgColor theme="0" tint="-0.14996795556505021"/>
        </patternFill>
      </fill>
    </dxf>
    <dxf>
      <font>
        <strike val="0"/>
        <color rgb="FFFFFF66"/>
      </font>
      <fill>
        <patternFill>
          <bgColor theme="0" tint="-0.14996795556505021"/>
        </patternFill>
      </fill>
    </dxf>
  </dxfs>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PMT_PPMT_IPMT!$B$66</c:f>
              <c:strCache>
                <c:ptCount val="1"/>
                <c:pt idx="0">
                  <c:v>Interest repayment</c:v>
                </c:pt>
              </c:strCache>
            </c:strRef>
          </c:tx>
          <c:spPr>
            <a:solidFill>
              <a:schemeClr val="accent1"/>
            </a:solidFill>
            <a:ln>
              <a:noFill/>
            </a:ln>
            <a:effectLst/>
          </c:spPr>
          <c:invertIfNegative val="0"/>
          <c:val>
            <c:numRef>
              <c:f>PMT_PPMT_IPMT!$G$66:$N$66</c:f>
              <c:numCache>
                <c:formatCode>_(#,##0.0_);_(\(#,##0.0\);\-_)</c:formatCode>
                <c:ptCount val="8"/>
                <c:pt idx="0">
                  <c:v>-6.15</c:v>
                </c:pt>
                <c:pt idx="1">
                  <c:v>-5.5059608461897609</c:v>
                </c:pt>
                <c:pt idx="2">
                  <c:v>-4.8297197346890099</c:v>
                </c:pt>
                <c:pt idx="3">
                  <c:v>-4.1196665676132218</c:v>
                </c:pt>
                <c:pt idx="4">
                  <c:v>-3.3741107421836425</c:v>
                </c:pt>
                <c:pt idx="5">
                  <c:v>-5.1825542509651727</c:v>
                </c:pt>
                <c:pt idx="6">
                  <c:v>-3.616827891156964</c:v>
                </c:pt>
                <c:pt idx="7">
                  <c:v>-1.8945288953679336</c:v>
                </c:pt>
              </c:numCache>
            </c:numRef>
          </c:val>
          <c:extLst>
            <c:ext xmlns:c16="http://schemas.microsoft.com/office/drawing/2014/chart" uri="{C3380CC4-5D6E-409C-BE32-E72D297353CC}">
              <c16:uniqueId val="{00000000-7723-42C8-821E-66C5C91F5F4D}"/>
            </c:ext>
          </c:extLst>
        </c:ser>
        <c:ser>
          <c:idx val="1"/>
          <c:order val="1"/>
          <c:tx>
            <c:strRef>
              <c:f>PMT_PPMT_IPMT!$B$67</c:f>
              <c:strCache>
                <c:ptCount val="1"/>
                <c:pt idx="0">
                  <c:v>Principal repayment</c:v>
                </c:pt>
              </c:strCache>
            </c:strRef>
          </c:tx>
          <c:spPr>
            <a:solidFill>
              <a:schemeClr val="accent2"/>
            </a:solidFill>
            <a:ln>
              <a:noFill/>
            </a:ln>
            <a:effectLst/>
          </c:spPr>
          <c:invertIfNegative val="0"/>
          <c:val>
            <c:numRef>
              <c:f>PMT_PPMT_IPMT!$G$67:$N$67</c:f>
              <c:numCache>
                <c:formatCode>_(#,##0.0_);_(\(#,##0.0\);\-_)</c:formatCode>
                <c:ptCount val="8"/>
                <c:pt idx="0">
                  <c:v>-12.880783076204779</c:v>
                </c:pt>
                <c:pt idx="1">
                  <c:v>-13.524822230015017</c:v>
                </c:pt>
                <c:pt idx="2">
                  <c:v>-14.20106334151577</c:v>
                </c:pt>
                <c:pt idx="3">
                  <c:v>-14.911116508591556</c:v>
                </c:pt>
                <c:pt idx="4">
                  <c:v>-15.656672334021136</c:v>
                </c:pt>
                <c:pt idx="5">
                  <c:v>-15.657263598082096</c:v>
                </c:pt>
                <c:pt idx="6">
                  <c:v>-17.222989957890306</c:v>
                </c:pt>
                <c:pt idx="7">
                  <c:v>-18.945288953679334</c:v>
                </c:pt>
              </c:numCache>
            </c:numRef>
          </c:val>
          <c:extLst>
            <c:ext xmlns:c16="http://schemas.microsoft.com/office/drawing/2014/chart" uri="{C3380CC4-5D6E-409C-BE32-E72D297353CC}">
              <c16:uniqueId val="{00000001-7723-42C8-821E-66C5C91F5F4D}"/>
            </c:ext>
          </c:extLst>
        </c:ser>
        <c:dLbls>
          <c:showLegendKey val="0"/>
          <c:showVal val="0"/>
          <c:showCatName val="0"/>
          <c:showSerName val="0"/>
          <c:showPercent val="0"/>
          <c:showBubbleSize val="0"/>
        </c:dLbls>
        <c:gapWidth val="219"/>
        <c:overlap val="100"/>
        <c:axId val="821669616"/>
        <c:axId val="821667264"/>
      </c:barChart>
      <c:catAx>
        <c:axId val="821669616"/>
        <c:scaling>
          <c:orientation val="minMax"/>
        </c:scaling>
        <c:delete val="0"/>
        <c:axPos val="t"/>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1667264"/>
        <c:crosses val="autoZero"/>
        <c:auto val="1"/>
        <c:lblAlgn val="ctr"/>
        <c:lblOffset val="100"/>
        <c:noMultiLvlLbl val="0"/>
      </c:catAx>
      <c:valAx>
        <c:axId val="821667264"/>
        <c:scaling>
          <c:orientation val="maxMin"/>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solidFill>
                      <a:sysClr val="windowText" lastClr="000000"/>
                    </a:solidFill>
                  </a:rPr>
                  <a:t>Repayment</a:t>
                </a:r>
                <a:r>
                  <a:rPr lang="en-AU" baseline="0">
                    <a:solidFill>
                      <a:sysClr val="windowText" lastClr="000000"/>
                    </a:solidFill>
                  </a:rPr>
                  <a:t> ($m)</a:t>
                </a:r>
                <a:endParaRPr lang="en-AU">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AU"/>
            </a:p>
          </c:txPr>
        </c:title>
        <c:numFmt formatCode="_(#,##0_);_(\(#,##0\);\-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1669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4.png"/><Relationship Id="rId7" Type="http://schemas.openxmlformats.org/officeDocument/2006/relationships/image" Target="../media/image17.png"/><Relationship Id="rId2" Type="http://schemas.openxmlformats.org/officeDocument/2006/relationships/image" Target="../media/image15.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image" Target="../media/image16.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15.png"/><Relationship Id="rId3" Type="http://schemas.openxmlformats.org/officeDocument/2006/relationships/image" Target="../media/image18.png"/><Relationship Id="rId7" Type="http://schemas.openxmlformats.org/officeDocument/2006/relationships/image" Target="../media/image16.png"/><Relationship Id="rId12" Type="http://schemas.openxmlformats.org/officeDocument/2006/relationships/image" Target="../media/image25.png"/><Relationship Id="rId2" Type="http://schemas.openxmlformats.org/officeDocument/2006/relationships/image" Target="../media/image4.png"/><Relationship Id="rId1" Type="http://schemas.openxmlformats.org/officeDocument/2006/relationships/image" Target="../media/image10.png"/><Relationship Id="rId6" Type="http://schemas.openxmlformats.org/officeDocument/2006/relationships/image" Target="../media/image2.png"/><Relationship Id="rId11" Type="http://schemas.openxmlformats.org/officeDocument/2006/relationships/image" Target="../media/image24.png"/><Relationship Id="rId5" Type="http://schemas.openxmlformats.org/officeDocument/2006/relationships/image" Target="../media/image20.png"/><Relationship Id="rId10" Type="http://schemas.openxmlformats.org/officeDocument/2006/relationships/image" Target="../media/image23.png"/><Relationship Id="rId4" Type="http://schemas.openxmlformats.org/officeDocument/2006/relationships/image" Target="../media/image19.png"/><Relationship Id="rId9" Type="http://schemas.openxmlformats.org/officeDocument/2006/relationships/image" Target="../media/image22.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22.png"/><Relationship Id="rId3" Type="http://schemas.openxmlformats.org/officeDocument/2006/relationships/image" Target="../media/image20.png"/><Relationship Id="rId7" Type="http://schemas.openxmlformats.org/officeDocument/2006/relationships/image" Target="../media/image27.png"/><Relationship Id="rId12" Type="http://schemas.openxmlformats.org/officeDocument/2006/relationships/image" Target="../media/image16.png"/><Relationship Id="rId2"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image" Target="../media/image25.png"/><Relationship Id="rId11" Type="http://schemas.openxmlformats.org/officeDocument/2006/relationships/image" Target="../media/image31.png"/><Relationship Id="rId5" Type="http://schemas.openxmlformats.org/officeDocument/2006/relationships/image" Target="../media/image10.png"/><Relationship Id="rId10" Type="http://schemas.openxmlformats.org/officeDocument/2006/relationships/image" Target="../media/image30.png"/><Relationship Id="rId4" Type="http://schemas.openxmlformats.org/officeDocument/2006/relationships/image" Target="../media/image26.png"/><Relationship Id="rId9" Type="http://schemas.openxmlformats.org/officeDocument/2006/relationships/image" Target="../media/image29.png"/><Relationship Id="rId14" Type="http://schemas.openxmlformats.org/officeDocument/2006/relationships/image" Target="../media/image3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33.png"/><Relationship Id="rId7"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10.png"/><Relationship Id="rId6" Type="http://schemas.openxmlformats.org/officeDocument/2006/relationships/image" Target="../media/image4.png"/><Relationship Id="rId5" Type="http://schemas.openxmlformats.org/officeDocument/2006/relationships/image" Target="../media/image16.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0</xdr:col>
      <xdr:colOff>99785</xdr:colOff>
      <xdr:row>23</xdr:row>
      <xdr:rowOff>72569</xdr:rowOff>
    </xdr:from>
    <xdr:to>
      <xdr:col>11</xdr:col>
      <xdr:colOff>522967</xdr:colOff>
      <xdr:row>42</xdr:row>
      <xdr:rowOff>141966</xdr:rowOff>
    </xdr:to>
    <xdr:pic>
      <xdr:nvPicPr>
        <xdr:cNvPr id="56" name="Picture 55">
          <a:extLst>
            <a:ext uri="{FF2B5EF4-FFF2-40B4-BE49-F238E27FC236}">
              <a16:creationId xmlns:a16="http://schemas.microsoft.com/office/drawing/2014/main" id="{00000000-0008-0000-0100-000038000000}"/>
            </a:ext>
          </a:extLst>
        </xdr:cNvPr>
        <xdr:cNvPicPr>
          <a:picLocks noChangeAspect="1"/>
        </xdr:cNvPicPr>
      </xdr:nvPicPr>
      <xdr:blipFill rotWithShape="1">
        <a:blip xmlns:r="http://schemas.openxmlformats.org/officeDocument/2006/relationships" r:embed="rId1"/>
        <a:srcRect b="50624"/>
        <a:stretch/>
      </xdr:blipFill>
      <xdr:spPr>
        <a:xfrm>
          <a:off x="99785" y="3646712"/>
          <a:ext cx="7003143" cy="2830287"/>
        </a:xfrm>
        <a:prstGeom prst="rect">
          <a:avLst/>
        </a:prstGeom>
      </xdr:spPr>
    </xdr:pic>
    <xdr:clientData/>
  </xdr:twoCellAnchor>
  <xdr:twoCellAnchor>
    <xdr:from>
      <xdr:col>1</xdr:col>
      <xdr:colOff>0</xdr:colOff>
      <xdr:row>52</xdr:row>
      <xdr:rowOff>57150</xdr:rowOff>
    </xdr:from>
    <xdr:to>
      <xdr:col>4</xdr:col>
      <xdr:colOff>466725</xdr:colOff>
      <xdr:row>56</xdr:row>
      <xdr:rowOff>58172</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161636" y="8485332"/>
          <a:ext cx="2544907" cy="647567"/>
          <a:chOff x="133350" y="2533650"/>
          <a:chExt cx="2295525" cy="610622"/>
        </a:xfrm>
      </xdr:grpSpPr>
      <xdr:pic>
        <xdr:nvPicPr>
          <xdr:cNvPr id="3" name="Picture 2" descr="clipart">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2628900"/>
            <a:ext cx="790575" cy="4719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781175" y="2533650"/>
            <a:ext cx="647700" cy="610622"/>
          </a:xfrm>
          <a:prstGeom prst="rect">
            <a:avLst/>
          </a:prstGeom>
        </xdr:spPr>
      </xdr:pic>
      <xdr:pic>
        <xdr:nvPicPr>
          <xdr:cNvPr id="5" name="Picture 4" descr="https://cdn1.iconfinder.com/data/icons/ie_Bright/512/plus_add_green.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200150" y="2667000"/>
            <a:ext cx="323850"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60</xdr:row>
      <xdr:rowOff>0</xdr:rowOff>
    </xdr:from>
    <xdr:to>
      <xdr:col>4</xdr:col>
      <xdr:colOff>457199</xdr:colOff>
      <xdr:row>63</xdr:row>
      <xdr:rowOff>117502</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161636" y="9721273"/>
          <a:ext cx="2535381" cy="602411"/>
          <a:chOff x="133350" y="3543300"/>
          <a:chExt cx="2285999" cy="574702"/>
        </a:xfrm>
      </xdr:grpSpPr>
      <xdr:pic>
        <xdr:nvPicPr>
          <xdr:cNvPr id="7" name="Picture 6" descr="clipart">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3594126"/>
            <a:ext cx="790575" cy="4719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computer key Arrow Right">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09750" y="3543300"/>
            <a:ext cx="609599" cy="57470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https://cdn1.iconfinder.com/data/icons/ie_Bright/512/plus_add_green.pn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200150" y="3657600"/>
            <a:ext cx="323850"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57150</xdr:colOff>
      <xdr:row>70</xdr:row>
      <xdr:rowOff>142875</xdr:rowOff>
    </xdr:from>
    <xdr:to>
      <xdr:col>4</xdr:col>
      <xdr:colOff>171449</xdr:colOff>
      <xdr:row>74</xdr:row>
      <xdr:rowOff>58932</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218786" y="11480511"/>
          <a:ext cx="2192481" cy="562603"/>
          <a:chOff x="190500" y="5972175"/>
          <a:chExt cx="1943099" cy="525657"/>
        </a:xfrm>
      </xdr:grpSpPr>
      <xdr:pic>
        <xdr:nvPicPr>
          <xdr:cNvPr id="11" name="Picture 10" descr="clipart">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62100" y="5972175"/>
            <a:ext cx="571499" cy="52565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90500" y="6115051"/>
            <a:ext cx="1247775"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 scroll up</a:t>
            </a:r>
          </a:p>
        </xdr:txBody>
      </xdr:sp>
    </xdr:grpSp>
    <xdr:clientData/>
  </xdr:twoCellAnchor>
  <xdr:twoCellAnchor>
    <xdr:from>
      <xdr:col>1</xdr:col>
      <xdr:colOff>57150</xdr:colOff>
      <xdr:row>75</xdr:row>
      <xdr:rowOff>28575</xdr:rowOff>
    </xdr:from>
    <xdr:to>
      <xdr:col>3</xdr:col>
      <xdr:colOff>85725</xdr:colOff>
      <xdr:row>76</xdr:row>
      <xdr:rowOff>114299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1095375" y="7553325"/>
          <a:ext cx="1247775"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 scroll down</a:t>
          </a:r>
        </a:p>
      </xdr:txBody>
    </xdr:sp>
    <xdr:clientData/>
  </xdr:twoCellAnchor>
  <xdr:twoCellAnchor>
    <xdr:from>
      <xdr:col>3</xdr:col>
      <xdr:colOff>209549</xdr:colOff>
      <xdr:row>74</xdr:row>
      <xdr:rowOff>111683</xdr:rowOff>
    </xdr:from>
    <xdr:to>
      <xdr:col>4</xdr:col>
      <xdr:colOff>180974</xdr:colOff>
      <xdr:row>78</xdr:row>
      <xdr:rowOff>38099</xdr:rowOff>
    </xdr:to>
    <xdr:pic>
      <xdr:nvPicPr>
        <xdr:cNvPr id="14" name="Picture 13" descr="clipart">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66974" y="7484033"/>
          <a:ext cx="581025" cy="53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80</xdr:row>
      <xdr:rowOff>135495</xdr:rowOff>
    </xdr:from>
    <xdr:to>
      <xdr:col>4</xdr:col>
      <xdr:colOff>447676</xdr:colOff>
      <xdr:row>84</xdr:row>
      <xdr:rowOff>114299</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171161" y="13089495"/>
          <a:ext cx="2516333" cy="625349"/>
          <a:chOff x="142875" y="7622145"/>
          <a:chExt cx="2266951" cy="588404"/>
        </a:xfrm>
      </xdr:grpSpPr>
      <xdr:pic>
        <xdr:nvPicPr>
          <xdr:cNvPr id="16" name="Picture 15" descr="clipart">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7686675"/>
            <a:ext cx="790575" cy="4719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16" descr="https://cdn1.iconfinder.com/data/icons/ie_Bright/512/plus_add_green.pn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209675" y="7750149"/>
            <a:ext cx="323850" cy="323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17" descr="clipart">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62126" y="7622145"/>
            <a:ext cx="647700" cy="58840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88</xdr:row>
      <xdr:rowOff>1</xdr:rowOff>
    </xdr:from>
    <xdr:to>
      <xdr:col>4</xdr:col>
      <xdr:colOff>411448</xdr:colOff>
      <xdr:row>91</xdr:row>
      <xdr:rowOff>114301</xdr:rowOff>
    </xdr:to>
    <xdr:grpSp>
      <xdr:nvGrpSpPr>
        <xdr:cNvPr id="19" name="Group 18">
          <a:extLst>
            <a:ext uri="{FF2B5EF4-FFF2-40B4-BE49-F238E27FC236}">
              <a16:creationId xmlns:a16="http://schemas.microsoft.com/office/drawing/2014/main" id="{00000000-0008-0000-0100-000013000000}"/>
            </a:ext>
          </a:extLst>
        </xdr:cNvPr>
        <xdr:cNvGrpSpPr/>
      </xdr:nvGrpSpPr>
      <xdr:grpSpPr>
        <a:xfrm>
          <a:off x="161636" y="14247092"/>
          <a:ext cx="2489630" cy="599209"/>
          <a:chOff x="133350" y="8572501"/>
          <a:chExt cx="2240248" cy="571500"/>
        </a:xfrm>
      </xdr:grpSpPr>
      <xdr:pic>
        <xdr:nvPicPr>
          <xdr:cNvPr id="20" name="Picture 19" descr="clipart">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637030"/>
            <a:ext cx="790575" cy="4719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Picture 20" descr="https://cdn1.iconfinder.com/data/icons/ie_Bright/512/plus_add_green.pn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200150" y="8700504"/>
            <a:ext cx="323850" cy="323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21" descr="clipart">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62125" y="8572501"/>
            <a:ext cx="611473" cy="5715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47625</xdr:colOff>
      <xdr:row>97</xdr:row>
      <xdr:rowOff>3813</xdr:rowOff>
    </xdr:from>
    <xdr:to>
      <xdr:col>2</xdr:col>
      <xdr:colOff>228600</xdr:colOff>
      <xdr:row>100</xdr:row>
      <xdr:rowOff>18584</xdr:rowOff>
    </xdr:to>
    <xdr:pic>
      <xdr:nvPicPr>
        <xdr:cNvPr id="23" name="Picture 22" descr="clipart">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11033763"/>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97</xdr:row>
      <xdr:rowOff>67287</xdr:rowOff>
    </xdr:from>
    <xdr:to>
      <xdr:col>3</xdr:col>
      <xdr:colOff>219075</xdr:colOff>
      <xdr:row>99</xdr:row>
      <xdr:rowOff>86337</xdr:rowOff>
    </xdr:to>
    <xdr:pic>
      <xdr:nvPicPr>
        <xdr:cNvPr id="24" name="Picture 23" descr="https://cdn1.iconfinder.com/data/icons/ie_Bright/512/plus_add_green.pn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2152650" y="11097237"/>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428626</xdr:colOff>
      <xdr:row>96</xdr:row>
      <xdr:rowOff>133350</xdr:rowOff>
    </xdr:from>
    <xdr:to>
      <xdr:col>4</xdr:col>
      <xdr:colOff>390525</xdr:colOff>
      <xdr:row>100</xdr:row>
      <xdr:rowOff>49407</xdr:rowOff>
    </xdr:to>
    <xdr:pic>
      <xdr:nvPicPr>
        <xdr:cNvPr id="25" name="Picture 24" descr="clipart">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686051" y="11010900"/>
          <a:ext cx="571499" cy="525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103</xdr:row>
      <xdr:rowOff>22863</xdr:rowOff>
    </xdr:from>
    <xdr:to>
      <xdr:col>2</xdr:col>
      <xdr:colOff>219075</xdr:colOff>
      <xdr:row>106</xdr:row>
      <xdr:rowOff>37634</xdr:rowOff>
    </xdr:to>
    <xdr:pic>
      <xdr:nvPicPr>
        <xdr:cNvPr id="26" name="Picture 25" descr="clipart">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325" y="11967213"/>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495300</xdr:colOff>
      <xdr:row>103</xdr:row>
      <xdr:rowOff>86337</xdr:rowOff>
    </xdr:from>
    <xdr:to>
      <xdr:col>3</xdr:col>
      <xdr:colOff>209550</xdr:colOff>
      <xdr:row>105</xdr:row>
      <xdr:rowOff>105387</xdr:rowOff>
    </xdr:to>
    <xdr:pic>
      <xdr:nvPicPr>
        <xdr:cNvPr id="27" name="Picture 26" descr="https://cdn1.iconfinder.com/data/icons/ie_Bright/512/plus_add_green.png">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2143125" y="12030687"/>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409575</xdr:colOff>
      <xdr:row>102</xdr:row>
      <xdr:rowOff>142875</xdr:rowOff>
    </xdr:from>
    <xdr:to>
      <xdr:col>4</xdr:col>
      <xdr:colOff>381000</xdr:colOff>
      <xdr:row>106</xdr:row>
      <xdr:rowOff>69291</xdr:rowOff>
    </xdr:to>
    <xdr:pic>
      <xdr:nvPicPr>
        <xdr:cNvPr id="28" name="Picture 27" descr="clipart">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667000" y="11934825"/>
          <a:ext cx="581025" cy="53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110</xdr:row>
      <xdr:rowOff>1</xdr:rowOff>
    </xdr:from>
    <xdr:to>
      <xdr:col>5</xdr:col>
      <xdr:colOff>139965</xdr:colOff>
      <xdr:row>113</xdr:row>
      <xdr:rowOff>123825</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161636" y="17803092"/>
          <a:ext cx="2910874" cy="608733"/>
          <a:chOff x="136071" y="13153572"/>
          <a:chExt cx="2716251" cy="586467"/>
        </a:xfrm>
      </xdr:grpSpPr>
      <xdr:pic>
        <xdr:nvPicPr>
          <xdr:cNvPr id="29" name="Picture 28" descr="clipart">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6071" y="13153572"/>
            <a:ext cx="887465" cy="5864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Picture 29" descr="https://cdn1.iconfinder.com/data/icons/ie_Bright/512/plus_add_green.png">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265918" y="13248821"/>
            <a:ext cx="358321" cy="32747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30" descr="clipart">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62364" y="13163096"/>
            <a:ext cx="989958" cy="5674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9525</xdr:colOff>
      <xdr:row>10</xdr:row>
      <xdr:rowOff>57150</xdr:rowOff>
    </xdr:from>
    <xdr:to>
      <xdr:col>2</xdr:col>
      <xdr:colOff>50648</xdr:colOff>
      <xdr:row>14</xdr:row>
      <xdr:rowOff>106135</xdr:rowOff>
    </xdr:to>
    <xdr:pic>
      <xdr:nvPicPr>
        <xdr:cNvPr id="32" name="Picture 31" descr="clipart">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47750" y="1771650"/>
          <a:ext cx="64754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47</xdr:row>
      <xdr:rowOff>47625</xdr:rowOff>
    </xdr:from>
    <xdr:to>
      <xdr:col>17</xdr:col>
      <xdr:colOff>580572</xdr:colOff>
      <xdr:row>48</xdr:row>
      <xdr:rowOff>9072</xdr:rowOff>
    </xdr:to>
    <xdr:cxnSp macro="">
      <xdr:nvCxnSpPr>
        <xdr:cNvPr id="33" name="Straight Arrow Connector 32">
          <a:extLst>
            <a:ext uri="{FF2B5EF4-FFF2-40B4-BE49-F238E27FC236}">
              <a16:creationId xmlns:a16="http://schemas.microsoft.com/office/drawing/2014/main" id="{00000000-0008-0000-0100-000021000000}"/>
            </a:ext>
          </a:extLst>
        </xdr:cNvPr>
        <xdr:cNvCxnSpPr/>
      </xdr:nvCxnSpPr>
      <xdr:spPr>
        <a:xfrm>
          <a:off x="1519464" y="6914696"/>
          <a:ext cx="9502322" cy="1065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123825</xdr:colOff>
      <xdr:row>120</xdr:row>
      <xdr:rowOff>66675</xdr:rowOff>
    </xdr:from>
    <xdr:to>
      <xdr:col>2</xdr:col>
      <xdr:colOff>171450</xdr:colOff>
      <xdr:row>123</xdr:row>
      <xdr:rowOff>81446</xdr:rowOff>
    </xdr:to>
    <xdr:pic>
      <xdr:nvPicPr>
        <xdr:cNvPr id="34" name="Picture 33" descr="clipart">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14754225"/>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371475</xdr:colOff>
      <xdr:row>120</xdr:row>
      <xdr:rowOff>123825</xdr:rowOff>
    </xdr:from>
    <xdr:to>
      <xdr:col>3</xdr:col>
      <xdr:colOff>85725</xdr:colOff>
      <xdr:row>122</xdr:row>
      <xdr:rowOff>142875</xdr:rowOff>
    </xdr:to>
    <xdr:pic>
      <xdr:nvPicPr>
        <xdr:cNvPr id="35" name="Picture 34" descr="https://cdn1.iconfinder.com/data/icons/ie_Bright/512/plus_add_green.png">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114425" y="14811375"/>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246529</xdr:colOff>
      <xdr:row>118</xdr:row>
      <xdr:rowOff>134471</xdr:rowOff>
    </xdr:from>
    <xdr:to>
      <xdr:col>5</xdr:col>
      <xdr:colOff>601942</xdr:colOff>
      <xdr:row>126</xdr:row>
      <xdr:rowOff>124401</xdr:rowOff>
    </xdr:to>
    <xdr:pic>
      <xdr:nvPicPr>
        <xdr:cNvPr id="36" name="Picture 35" descr="http://www.ellenfinkelstein.com/acadblog/wordpress/wp-content/uploads/2013/10/autocad-tips-mouse-wheel-1.png">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591235" y="14915030"/>
          <a:ext cx="1568823" cy="1184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624114</xdr:colOff>
      <xdr:row>52</xdr:row>
      <xdr:rowOff>46264</xdr:rowOff>
    </xdr:from>
    <xdr:to>
      <xdr:col>8</xdr:col>
      <xdr:colOff>328839</xdr:colOff>
      <xdr:row>56</xdr:row>
      <xdr:rowOff>47286</xdr:rowOff>
    </xdr:to>
    <xdr:grpSp>
      <xdr:nvGrpSpPr>
        <xdr:cNvPr id="42" name="Group 41">
          <a:extLst>
            <a:ext uri="{FF2B5EF4-FFF2-40B4-BE49-F238E27FC236}">
              <a16:creationId xmlns:a16="http://schemas.microsoft.com/office/drawing/2014/main" id="{00000000-0008-0000-0100-00002A000000}"/>
            </a:ext>
          </a:extLst>
        </xdr:cNvPr>
        <xdr:cNvGrpSpPr/>
      </xdr:nvGrpSpPr>
      <xdr:grpSpPr>
        <a:xfrm>
          <a:off x="3556659" y="8474446"/>
          <a:ext cx="1782907" cy="647567"/>
          <a:chOff x="4098471" y="3910693"/>
          <a:chExt cx="1636939" cy="617879"/>
        </a:xfrm>
      </xdr:grpSpPr>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3"/>
          <a:stretch>
            <a:fillRect/>
          </a:stretch>
        </xdr:blipFill>
        <xdr:spPr>
          <a:xfrm>
            <a:off x="5058531" y="3910693"/>
            <a:ext cx="676879" cy="617879"/>
          </a:xfrm>
          <a:prstGeom prst="rect">
            <a:avLst/>
          </a:prstGeom>
        </xdr:spPr>
      </xdr:pic>
      <xdr:pic>
        <xdr:nvPicPr>
          <xdr:cNvPr id="41" name="Picture 40" descr="clipart">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98471" y="3946979"/>
            <a:ext cx="639700" cy="5769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5442</xdr:colOff>
      <xdr:row>60</xdr:row>
      <xdr:rowOff>53522</xdr:rowOff>
    </xdr:from>
    <xdr:to>
      <xdr:col>8</xdr:col>
      <xdr:colOff>328747</xdr:colOff>
      <xdr:row>64</xdr:row>
      <xdr:rowOff>17716</xdr:rowOff>
    </xdr:to>
    <xdr:grpSp>
      <xdr:nvGrpSpPr>
        <xdr:cNvPr id="49" name="Group 48">
          <a:extLst>
            <a:ext uri="{FF2B5EF4-FFF2-40B4-BE49-F238E27FC236}">
              <a16:creationId xmlns:a16="http://schemas.microsoft.com/office/drawing/2014/main" id="{00000000-0008-0000-0100-000031000000}"/>
            </a:ext>
          </a:extLst>
        </xdr:cNvPr>
        <xdr:cNvGrpSpPr/>
      </xdr:nvGrpSpPr>
      <xdr:grpSpPr>
        <a:xfrm>
          <a:off x="3630715" y="9774795"/>
          <a:ext cx="1708759" cy="610739"/>
          <a:chOff x="3361871" y="5187951"/>
          <a:chExt cx="1611447" cy="581051"/>
        </a:xfrm>
      </xdr:grpSpPr>
      <xdr:pic>
        <xdr:nvPicPr>
          <xdr:cNvPr id="46" name="Picture 45" descr="computer key Arrow Right">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36142" y="5188858"/>
            <a:ext cx="637176" cy="5801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Picture 44" descr="clipart">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361871" y="5187951"/>
            <a:ext cx="639700" cy="5769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517072</xdr:colOff>
      <xdr:row>38</xdr:row>
      <xdr:rowOff>109765</xdr:rowOff>
    </xdr:from>
    <xdr:to>
      <xdr:col>5</xdr:col>
      <xdr:colOff>620033</xdr:colOff>
      <xdr:row>40</xdr:row>
      <xdr:rowOff>41276</xdr:rowOff>
    </xdr:to>
    <xdr:sp macro="" textlink="">
      <xdr:nvSpPr>
        <xdr:cNvPr id="57" name="Oval 56">
          <a:extLst>
            <a:ext uri="{FF2B5EF4-FFF2-40B4-BE49-F238E27FC236}">
              <a16:creationId xmlns:a16="http://schemas.microsoft.com/office/drawing/2014/main" id="{00000000-0008-0000-0100-000039000000}"/>
            </a:ext>
          </a:extLst>
        </xdr:cNvPr>
        <xdr:cNvSpPr/>
      </xdr:nvSpPr>
      <xdr:spPr>
        <a:xfrm>
          <a:off x="1306286" y="5824765"/>
          <a:ext cx="2021568" cy="2308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620033</xdr:colOff>
      <xdr:row>39</xdr:row>
      <xdr:rowOff>73933</xdr:rowOff>
    </xdr:from>
    <xdr:to>
      <xdr:col>12</xdr:col>
      <xdr:colOff>620032</xdr:colOff>
      <xdr:row>39</xdr:row>
      <xdr:rowOff>73934</xdr:rowOff>
    </xdr:to>
    <xdr:cxnSp macro="">
      <xdr:nvCxnSpPr>
        <xdr:cNvPr id="59" name="Straight Arrow Connector 58">
          <a:extLst>
            <a:ext uri="{FF2B5EF4-FFF2-40B4-BE49-F238E27FC236}">
              <a16:creationId xmlns:a16="http://schemas.microsoft.com/office/drawing/2014/main" id="{00000000-0008-0000-0100-00003B000000}"/>
            </a:ext>
          </a:extLst>
        </xdr:cNvPr>
        <xdr:cNvCxnSpPr>
          <a:stCxn id="57" idx="6"/>
        </xdr:cNvCxnSpPr>
      </xdr:nvCxnSpPr>
      <xdr:spPr>
        <a:xfrm>
          <a:off x="3327854" y="5938612"/>
          <a:ext cx="4476749" cy="1"/>
        </a:xfrm>
        <a:prstGeom prst="straightConnector1">
          <a:avLst/>
        </a:prstGeom>
        <a:ln w="1905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625928</xdr:colOff>
      <xdr:row>13</xdr:row>
      <xdr:rowOff>126997</xdr:rowOff>
    </xdr:from>
    <xdr:to>
      <xdr:col>18</xdr:col>
      <xdr:colOff>545253</xdr:colOff>
      <xdr:row>26</xdr:row>
      <xdr:rowOff>59188</xdr:rowOff>
    </xdr:to>
    <xdr:pic>
      <xdr:nvPicPr>
        <xdr:cNvPr id="61" name="Picture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14"/>
        <a:stretch>
          <a:fillRect/>
        </a:stretch>
      </xdr:blipFill>
      <xdr:spPr>
        <a:xfrm>
          <a:off x="8490857" y="2158997"/>
          <a:ext cx="3142857" cy="1819048"/>
        </a:xfrm>
        <a:prstGeom prst="rect">
          <a:avLst/>
        </a:prstGeom>
        <a:ln>
          <a:solidFill>
            <a:schemeClr val="bg1">
              <a:lumMod val="75000"/>
            </a:schemeClr>
          </a:solidFill>
        </a:ln>
      </xdr:spPr>
    </xdr:pic>
    <xdr:clientData/>
  </xdr:twoCellAnchor>
  <xdr:twoCellAnchor>
    <xdr:from>
      <xdr:col>2</xdr:col>
      <xdr:colOff>336176</xdr:colOff>
      <xdr:row>11</xdr:row>
      <xdr:rowOff>112059</xdr:rowOff>
    </xdr:from>
    <xdr:to>
      <xdr:col>13</xdr:col>
      <xdr:colOff>561868</xdr:colOff>
      <xdr:row>14</xdr:row>
      <xdr:rowOff>103205</xdr:rowOff>
    </xdr:to>
    <xdr:cxnSp macro="">
      <xdr:nvCxnSpPr>
        <xdr:cNvPr id="62" name="Straight Arrow Connector 61">
          <a:extLst>
            <a:ext uri="{FF2B5EF4-FFF2-40B4-BE49-F238E27FC236}">
              <a16:creationId xmlns:a16="http://schemas.microsoft.com/office/drawing/2014/main" id="{00000000-0008-0000-0100-00003E000000}"/>
            </a:ext>
          </a:extLst>
        </xdr:cNvPr>
        <xdr:cNvCxnSpPr/>
      </xdr:nvCxnSpPr>
      <xdr:spPr>
        <a:xfrm>
          <a:off x="1120588" y="1748118"/>
          <a:ext cx="7251780" cy="428175"/>
        </a:xfrm>
        <a:prstGeom prst="straightConnector1">
          <a:avLst/>
        </a:prstGeom>
        <a:ln w="19050">
          <a:solidFill>
            <a:schemeClr val="accent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2</xdr:col>
      <xdr:colOff>180975</xdr:colOff>
      <xdr:row>10</xdr:row>
      <xdr:rowOff>14771</xdr:rowOff>
    </xdr:to>
    <xdr:pic>
      <xdr:nvPicPr>
        <xdr:cNvPr id="2" name="Picture 1" descr="clipar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52500"/>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200026</xdr:colOff>
      <xdr:row>6</xdr:row>
      <xdr:rowOff>133350</xdr:rowOff>
    </xdr:from>
    <xdr:to>
      <xdr:col>4</xdr:col>
      <xdr:colOff>174702</xdr:colOff>
      <xdr:row>10</xdr:row>
      <xdr:rowOff>85724</xdr:rowOff>
    </xdr:to>
    <xdr:pic>
      <xdr:nvPicPr>
        <xdr:cNvPr id="3" name="Picture 2" descr="clipart">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2576" y="933450"/>
          <a:ext cx="584276"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314325</xdr:colOff>
      <xdr:row>7</xdr:row>
      <xdr:rowOff>76200</xdr:rowOff>
    </xdr:from>
    <xdr:to>
      <xdr:col>3</xdr:col>
      <xdr:colOff>28575</xdr:colOff>
      <xdr:row>9</xdr:row>
      <xdr:rowOff>95250</xdr:rowOff>
    </xdr:to>
    <xdr:pic>
      <xdr:nvPicPr>
        <xdr:cNvPr id="4" name="Picture 3" descr="https://cdn1.iconfinder.com/data/icons/ie_Bright/512/plus_add_green.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057275" y="1028700"/>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21</xdr:row>
      <xdr:rowOff>123825</xdr:rowOff>
    </xdr:from>
    <xdr:to>
      <xdr:col>2</xdr:col>
      <xdr:colOff>553080</xdr:colOff>
      <xdr:row>24</xdr:row>
      <xdr:rowOff>123825</xdr:rowOff>
    </xdr:to>
    <xdr:pic>
      <xdr:nvPicPr>
        <xdr:cNvPr id="5" name="Picture 4" descr="clipart">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3209925"/>
          <a:ext cx="113410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22</xdr:row>
      <xdr:rowOff>47625</xdr:rowOff>
    </xdr:from>
    <xdr:to>
      <xdr:col>3</xdr:col>
      <xdr:colOff>428625</xdr:colOff>
      <xdr:row>24</xdr:row>
      <xdr:rowOff>66675</xdr:rowOff>
    </xdr:to>
    <xdr:pic>
      <xdr:nvPicPr>
        <xdr:cNvPr id="6" name="Picture 5" descr="https://cdn1.iconfinder.com/data/icons/ie_Bright/512/plus_add_green.pn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457325" y="3286125"/>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xdr:row>
      <xdr:rowOff>114300</xdr:rowOff>
    </xdr:from>
    <xdr:to>
      <xdr:col>4</xdr:col>
      <xdr:colOff>581025</xdr:colOff>
      <xdr:row>25</xdr:row>
      <xdr:rowOff>40716</xdr:rowOff>
    </xdr:to>
    <xdr:pic>
      <xdr:nvPicPr>
        <xdr:cNvPr id="7" name="Picture 6" descr="clipart">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62150" y="3200400"/>
          <a:ext cx="581025" cy="53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85725</xdr:colOff>
      <xdr:row>22</xdr:row>
      <xdr:rowOff>76200</xdr:rowOff>
    </xdr:from>
    <xdr:to>
      <xdr:col>6</xdr:col>
      <xdr:colOff>19050</xdr:colOff>
      <xdr:row>23</xdr:row>
      <xdr:rowOff>123825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2657475" y="3314700"/>
          <a:ext cx="542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OR</a:t>
          </a:r>
        </a:p>
      </xdr:txBody>
    </xdr:sp>
    <xdr:clientData/>
  </xdr:twoCellAnchor>
  <xdr:twoCellAnchor>
    <xdr:from>
      <xdr:col>5</xdr:col>
      <xdr:colOff>571500</xdr:colOff>
      <xdr:row>21</xdr:row>
      <xdr:rowOff>114300</xdr:rowOff>
    </xdr:from>
    <xdr:to>
      <xdr:col>6</xdr:col>
      <xdr:colOff>533399</xdr:colOff>
      <xdr:row>25</xdr:row>
      <xdr:rowOff>30357</xdr:rowOff>
    </xdr:to>
    <xdr:pic>
      <xdr:nvPicPr>
        <xdr:cNvPr id="9" name="Picture 8" descr="clipart">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143250" y="3200400"/>
          <a:ext cx="571499" cy="525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29</xdr:row>
      <xdr:rowOff>66675</xdr:rowOff>
    </xdr:from>
    <xdr:to>
      <xdr:col>2</xdr:col>
      <xdr:colOff>257175</xdr:colOff>
      <xdr:row>32</xdr:row>
      <xdr:rowOff>81446</xdr:rowOff>
    </xdr:to>
    <xdr:pic>
      <xdr:nvPicPr>
        <xdr:cNvPr id="10" name="Picture 9" descr="clipart">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371975"/>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381000</xdr:colOff>
      <xdr:row>30</xdr:row>
      <xdr:rowOff>9525</xdr:rowOff>
    </xdr:from>
    <xdr:to>
      <xdr:col>3</xdr:col>
      <xdr:colOff>95250</xdr:colOff>
      <xdr:row>32</xdr:row>
      <xdr:rowOff>28575</xdr:rowOff>
    </xdr:to>
    <xdr:pic>
      <xdr:nvPicPr>
        <xdr:cNvPr id="11" name="Picture 10" descr="https://cdn1.iconfinder.com/data/icons/ie_Bright/512/plus_add_green.pn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123950" y="4467225"/>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29</xdr:row>
      <xdr:rowOff>76200</xdr:rowOff>
    </xdr:from>
    <xdr:to>
      <xdr:col>5</xdr:col>
      <xdr:colOff>67305</xdr:colOff>
      <xdr:row>32</xdr:row>
      <xdr:rowOff>76200</xdr:rowOff>
    </xdr:to>
    <xdr:pic>
      <xdr:nvPicPr>
        <xdr:cNvPr id="12" name="Picture 11" descr="clipart">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4950" y="4381500"/>
          <a:ext cx="113410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219075</xdr:colOff>
      <xdr:row>29</xdr:row>
      <xdr:rowOff>133350</xdr:rowOff>
    </xdr:from>
    <xdr:to>
      <xdr:col>5</xdr:col>
      <xdr:colOff>542925</xdr:colOff>
      <xdr:row>32</xdr:row>
      <xdr:rowOff>0</xdr:rowOff>
    </xdr:to>
    <xdr:pic>
      <xdr:nvPicPr>
        <xdr:cNvPr id="13" name="Picture 12" descr="https://cdn1.iconfinder.com/data/icons/ie_Bright/512/plus_add_green.pn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flipV="1">
          <a:off x="2790825" y="4438650"/>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219075</xdr:colOff>
      <xdr:row>30</xdr:row>
      <xdr:rowOff>47626</xdr:rowOff>
    </xdr:from>
    <xdr:to>
      <xdr:col>7</xdr:col>
      <xdr:colOff>560917</xdr:colOff>
      <xdr:row>32</xdr:row>
      <xdr:rowOff>42333</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3584575" y="4228043"/>
          <a:ext cx="987425" cy="291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ARROW</a:t>
          </a:r>
          <a:r>
            <a:rPr lang="en-AU" sz="1100" b="1" baseline="0"/>
            <a:t> KEYS</a:t>
          </a:r>
          <a:endParaRPr lang="en-AU" sz="1100" b="1"/>
        </a:p>
      </xdr:txBody>
    </xdr:sp>
    <xdr:clientData/>
  </xdr:twoCellAnchor>
  <xdr:twoCellAnchor editAs="oneCell">
    <xdr:from>
      <xdr:col>8</xdr:col>
      <xdr:colOff>634999</xdr:colOff>
      <xdr:row>29</xdr:row>
      <xdr:rowOff>63501</xdr:rowOff>
    </xdr:from>
    <xdr:to>
      <xdr:col>10</xdr:col>
      <xdr:colOff>549905</xdr:colOff>
      <xdr:row>32</xdr:row>
      <xdr:rowOff>63501</xdr:rowOff>
    </xdr:to>
    <xdr:pic>
      <xdr:nvPicPr>
        <xdr:cNvPr id="15" name="Picture 14" descr="clipart">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91666" y="4095751"/>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74083</xdr:colOff>
      <xdr:row>30</xdr:row>
      <xdr:rowOff>0</xdr:rowOff>
    </xdr:from>
    <xdr:to>
      <xdr:col>11</xdr:col>
      <xdr:colOff>397933</xdr:colOff>
      <xdr:row>32</xdr:row>
      <xdr:rowOff>14817</xdr:rowOff>
    </xdr:to>
    <xdr:pic>
      <xdr:nvPicPr>
        <xdr:cNvPr id="16" name="Picture 15" descr="https://cdn1.iconfinder.com/data/icons/ie_Bright/512/plus_add_green.pn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6667500" y="4180417"/>
          <a:ext cx="3238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624417</xdr:colOff>
      <xdr:row>29</xdr:row>
      <xdr:rowOff>42333</xdr:rowOff>
    </xdr:from>
    <xdr:to>
      <xdr:col>14</xdr:col>
      <xdr:colOff>176439</xdr:colOff>
      <xdr:row>33</xdr:row>
      <xdr:rowOff>67545</xdr:rowOff>
    </xdr:to>
    <xdr:grpSp>
      <xdr:nvGrpSpPr>
        <xdr:cNvPr id="17" name="Group 16">
          <a:extLst>
            <a:ext uri="{FF2B5EF4-FFF2-40B4-BE49-F238E27FC236}">
              <a16:creationId xmlns:a16="http://schemas.microsoft.com/office/drawing/2014/main" id="{00000000-0008-0000-0200-000011000000}"/>
            </a:ext>
          </a:extLst>
        </xdr:cNvPr>
        <xdr:cNvGrpSpPr/>
      </xdr:nvGrpSpPr>
      <xdr:grpSpPr>
        <a:xfrm>
          <a:off x="7796182" y="4405157"/>
          <a:ext cx="1658728" cy="622859"/>
          <a:chOff x="4098471" y="3942443"/>
          <a:chExt cx="1488772" cy="617879"/>
        </a:xfrm>
      </xdr:grpSpPr>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4910364" y="3942443"/>
            <a:ext cx="676879" cy="617879"/>
          </a:xfrm>
          <a:prstGeom prst="rect">
            <a:avLst/>
          </a:prstGeom>
        </xdr:spPr>
      </xdr:pic>
      <xdr:pic>
        <xdr:nvPicPr>
          <xdr:cNvPr id="19" name="Picture 18" descr="clipart">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098471" y="3946979"/>
            <a:ext cx="639700" cy="57694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74084</xdr:colOff>
      <xdr:row>40</xdr:row>
      <xdr:rowOff>116417</xdr:rowOff>
    </xdr:from>
    <xdr:to>
      <xdr:col>2</xdr:col>
      <xdr:colOff>634572</xdr:colOff>
      <xdr:row>43</xdr:row>
      <xdr:rowOff>116417</xdr:rowOff>
    </xdr:to>
    <xdr:pic>
      <xdr:nvPicPr>
        <xdr:cNvPr id="20" name="Picture 19" descr="clipart">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1667" y="5778500"/>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137584</xdr:colOff>
      <xdr:row>41</xdr:row>
      <xdr:rowOff>63499</xdr:rowOff>
    </xdr:from>
    <xdr:to>
      <xdr:col>3</xdr:col>
      <xdr:colOff>461434</xdr:colOff>
      <xdr:row>43</xdr:row>
      <xdr:rowOff>78316</xdr:rowOff>
    </xdr:to>
    <xdr:pic>
      <xdr:nvPicPr>
        <xdr:cNvPr id="21" name="Picture 20" descr="https://cdn1.iconfinder.com/data/icons/ie_Bright/512/plus_add_green.pn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566334" y="5873749"/>
          <a:ext cx="3238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639234</xdr:colOff>
      <xdr:row>40</xdr:row>
      <xdr:rowOff>141817</xdr:rowOff>
    </xdr:from>
    <xdr:to>
      <xdr:col>5</xdr:col>
      <xdr:colOff>554139</xdr:colOff>
      <xdr:row>43</xdr:row>
      <xdr:rowOff>141817</xdr:rowOff>
    </xdr:to>
    <xdr:pic>
      <xdr:nvPicPr>
        <xdr:cNvPr id="22" name="Picture 21" descr="clipart">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67984" y="5803900"/>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148167</xdr:colOff>
      <xdr:row>41</xdr:row>
      <xdr:rowOff>63499</xdr:rowOff>
    </xdr:from>
    <xdr:to>
      <xdr:col>4</xdr:col>
      <xdr:colOff>592667</xdr:colOff>
      <xdr:row>43</xdr:row>
      <xdr:rowOff>0</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2222500" y="5873749"/>
          <a:ext cx="444500" cy="2328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74084</xdr:colOff>
      <xdr:row>48</xdr:row>
      <xdr:rowOff>95250</xdr:rowOff>
    </xdr:from>
    <xdr:to>
      <xdr:col>2</xdr:col>
      <xdr:colOff>255059</xdr:colOff>
      <xdr:row>51</xdr:row>
      <xdr:rowOff>110021</xdr:rowOff>
    </xdr:to>
    <xdr:pic>
      <xdr:nvPicPr>
        <xdr:cNvPr id="24" name="Picture 23" descr="clipart">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7" y="6942667"/>
          <a:ext cx="826559" cy="459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406400</xdr:colOff>
      <xdr:row>49</xdr:row>
      <xdr:rowOff>46566</xdr:rowOff>
    </xdr:from>
    <xdr:to>
      <xdr:col>3</xdr:col>
      <xdr:colOff>84667</xdr:colOff>
      <xdr:row>51</xdr:row>
      <xdr:rowOff>61382</xdr:rowOff>
    </xdr:to>
    <xdr:pic>
      <xdr:nvPicPr>
        <xdr:cNvPr id="25" name="Picture 24" descr="https://cdn1.iconfinder.com/data/icons/ie_Bright/512/plus_add_green.pn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189567" y="7042149"/>
          <a:ext cx="3238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262467</xdr:colOff>
      <xdr:row>48</xdr:row>
      <xdr:rowOff>124883</xdr:rowOff>
    </xdr:from>
    <xdr:to>
      <xdr:col>5</xdr:col>
      <xdr:colOff>177372</xdr:colOff>
      <xdr:row>51</xdr:row>
      <xdr:rowOff>124883</xdr:rowOff>
    </xdr:to>
    <xdr:pic>
      <xdr:nvPicPr>
        <xdr:cNvPr id="26" name="Picture 25" descr="clipart">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1217" y="6972300"/>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416983</xdr:colOff>
      <xdr:row>49</xdr:row>
      <xdr:rowOff>46566</xdr:rowOff>
    </xdr:from>
    <xdr:to>
      <xdr:col>4</xdr:col>
      <xdr:colOff>215900</xdr:colOff>
      <xdr:row>50</xdr:row>
      <xdr:rowOff>131233</xdr:rowOff>
    </xdr:to>
    <xdr:sp macro="" textlink="">
      <xdr:nvSpPr>
        <xdr:cNvPr id="27" name="Rectangle 26">
          <a:extLst>
            <a:ext uri="{FF2B5EF4-FFF2-40B4-BE49-F238E27FC236}">
              <a16:creationId xmlns:a16="http://schemas.microsoft.com/office/drawing/2014/main" id="{00000000-0008-0000-0200-00001B000000}"/>
            </a:ext>
          </a:extLst>
        </xdr:cNvPr>
        <xdr:cNvSpPr/>
      </xdr:nvSpPr>
      <xdr:spPr>
        <a:xfrm>
          <a:off x="1845733" y="7042149"/>
          <a:ext cx="444500" cy="23283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7</xdr:row>
      <xdr:rowOff>85725</xdr:rowOff>
    </xdr:from>
    <xdr:to>
      <xdr:col>2</xdr:col>
      <xdr:colOff>281493</xdr:colOff>
      <xdr:row>11</xdr:row>
      <xdr:rowOff>46565</xdr:rowOff>
    </xdr:to>
    <xdr:pic>
      <xdr:nvPicPr>
        <xdr:cNvPr id="2" name="Picture 1" descr="clipar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343025"/>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438150</xdr:colOff>
      <xdr:row>8</xdr:row>
      <xdr:rowOff>57150</xdr:rowOff>
    </xdr:from>
    <xdr:to>
      <xdr:col>3</xdr:col>
      <xdr:colOff>152400</xdr:colOff>
      <xdr:row>10</xdr:row>
      <xdr:rowOff>76200</xdr:rowOff>
    </xdr:to>
    <xdr:pic>
      <xdr:nvPicPr>
        <xdr:cNvPr id="3" name="Picture 2" descr="https://cdn1.iconfinder.com/data/icons/ie_Bright/512/plus_add_green.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181100" y="1466850"/>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361950</xdr:colOff>
      <xdr:row>7</xdr:row>
      <xdr:rowOff>48478</xdr:rowOff>
    </xdr:from>
    <xdr:to>
      <xdr:col>4</xdr:col>
      <xdr:colOff>438150</xdr:colOff>
      <xdr:row>11</xdr:row>
      <xdr:rowOff>84666</xdr:rowOff>
    </xdr:to>
    <xdr:pic>
      <xdr:nvPicPr>
        <xdr:cNvPr id="4" name="Picture 3" descr="clipart">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0" y="1305778"/>
          <a:ext cx="685800" cy="656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19</xdr:row>
      <xdr:rowOff>18197</xdr:rowOff>
    </xdr:from>
    <xdr:to>
      <xdr:col>2</xdr:col>
      <xdr:colOff>300543</xdr:colOff>
      <xdr:row>22</xdr:row>
      <xdr:rowOff>131438</xdr:rowOff>
    </xdr:to>
    <xdr:pic>
      <xdr:nvPicPr>
        <xdr:cNvPr id="6" name="Picture 5" descr="clipart">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104297"/>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457200</xdr:colOff>
      <xdr:row>19</xdr:row>
      <xdr:rowOff>142022</xdr:rowOff>
    </xdr:from>
    <xdr:to>
      <xdr:col>3</xdr:col>
      <xdr:colOff>171450</xdr:colOff>
      <xdr:row>22</xdr:row>
      <xdr:rowOff>8672</xdr:rowOff>
    </xdr:to>
    <xdr:pic>
      <xdr:nvPicPr>
        <xdr:cNvPr id="7" name="Picture 6" descr="https://cdn1.iconfinder.com/data/icons/ie_Bright/512/plus_add_green.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200150" y="3228122"/>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18</xdr:row>
      <xdr:rowOff>133350</xdr:rowOff>
    </xdr:from>
    <xdr:to>
      <xdr:col>4</xdr:col>
      <xdr:colOff>457200</xdr:colOff>
      <xdr:row>23</xdr:row>
      <xdr:rowOff>17138</xdr:rowOff>
    </xdr:to>
    <xdr:pic>
      <xdr:nvPicPr>
        <xdr:cNvPr id="8" name="Picture 7" descr="clipart">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3550" y="3067050"/>
          <a:ext cx="685800" cy="656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77259</xdr:colOff>
      <xdr:row>7</xdr:row>
      <xdr:rowOff>84855</xdr:rowOff>
    </xdr:from>
    <xdr:to>
      <xdr:col>6</xdr:col>
      <xdr:colOff>143933</xdr:colOff>
      <xdr:row>11</xdr:row>
      <xdr:rowOff>114300</xdr:rowOff>
    </xdr:to>
    <xdr:pic>
      <xdr:nvPicPr>
        <xdr:cNvPr id="10" name="Picture 9" descr="clipart">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97176" y="1153772"/>
          <a:ext cx="712257" cy="63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96308</xdr:colOff>
      <xdr:row>19</xdr:row>
      <xdr:rowOff>0</xdr:rowOff>
    </xdr:from>
    <xdr:to>
      <xdr:col>6</xdr:col>
      <xdr:colOff>161130</xdr:colOff>
      <xdr:row>23</xdr:row>
      <xdr:rowOff>27516</xdr:rowOff>
    </xdr:to>
    <xdr:pic>
      <xdr:nvPicPr>
        <xdr:cNvPr id="11" name="Picture 10" descr="clipart">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16225" y="2846917"/>
          <a:ext cx="710405" cy="630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2</xdr:col>
      <xdr:colOff>243393</xdr:colOff>
      <xdr:row>36</xdr:row>
      <xdr:rowOff>113241</xdr:rowOff>
    </xdr:to>
    <xdr:pic>
      <xdr:nvPicPr>
        <xdr:cNvPr id="12" name="Picture 11" descr="clipart">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521970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361950</xdr:colOff>
      <xdr:row>32</xdr:row>
      <xdr:rowOff>66675</xdr:rowOff>
    </xdr:from>
    <xdr:to>
      <xdr:col>4</xdr:col>
      <xdr:colOff>438150</xdr:colOff>
      <xdr:row>36</xdr:row>
      <xdr:rowOff>102864</xdr:rowOff>
    </xdr:to>
    <xdr:pic>
      <xdr:nvPicPr>
        <xdr:cNvPr id="13" name="Picture 12" descr="clipart">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0" y="5133975"/>
          <a:ext cx="685800" cy="656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58208</xdr:colOff>
      <xdr:row>32</xdr:row>
      <xdr:rowOff>88900</xdr:rowOff>
    </xdr:from>
    <xdr:to>
      <xdr:col>6</xdr:col>
      <xdr:colOff>134408</xdr:colOff>
      <xdr:row>36</xdr:row>
      <xdr:rowOff>125089</xdr:rowOff>
    </xdr:to>
    <xdr:pic>
      <xdr:nvPicPr>
        <xdr:cNvPr id="14" name="Picture 13" descr="clipart">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78125" y="4861983"/>
          <a:ext cx="721783" cy="639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466725</xdr:colOff>
      <xdr:row>33</xdr:row>
      <xdr:rowOff>104775</xdr:rowOff>
    </xdr:from>
    <xdr:to>
      <xdr:col>3</xdr:col>
      <xdr:colOff>180975</xdr:colOff>
      <xdr:row>35</xdr:row>
      <xdr:rowOff>123825</xdr:rowOff>
    </xdr:to>
    <xdr:pic>
      <xdr:nvPicPr>
        <xdr:cNvPr id="15" name="Picture 14" descr="https://cdn1.iconfinder.com/data/icons/ie_Bright/512/plus_add_green.pn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209675" y="5324475"/>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582083</xdr:colOff>
      <xdr:row>33</xdr:row>
      <xdr:rowOff>10584</xdr:rowOff>
    </xdr:from>
    <xdr:to>
      <xdr:col>9</xdr:col>
      <xdr:colOff>115964</xdr:colOff>
      <xdr:row>36</xdr:row>
      <xdr:rowOff>43497</xdr:rowOff>
    </xdr:to>
    <xdr:pic>
      <xdr:nvPicPr>
        <xdr:cNvPr id="17" name="Picture 16" descr="clipart">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38750" y="4931834"/>
          <a:ext cx="825047" cy="47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338668</xdr:colOff>
      <xdr:row>33</xdr:row>
      <xdr:rowOff>95251</xdr:rowOff>
    </xdr:from>
    <xdr:to>
      <xdr:col>10</xdr:col>
      <xdr:colOff>16934</xdr:colOff>
      <xdr:row>35</xdr:row>
      <xdr:rowOff>114301</xdr:rowOff>
    </xdr:to>
    <xdr:pic>
      <xdr:nvPicPr>
        <xdr:cNvPr id="18" name="Picture 17" descr="https://cdn1.iconfinder.com/data/icons/ie_Bright/512/plus_add_green.pn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6286501" y="5016501"/>
          <a:ext cx="32385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639233</xdr:colOff>
      <xdr:row>19</xdr:row>
      <xdr:rowOff>14817</xdr:rowOff>
    </xdr:from>
    <xdr:to>
      <xdr:col>9</xdr:col>
      <xdr:colOff>173114</xdr:colOff>
      <xdr:row>22</xdr:row>
      <xdr:rowOff>47730</xdr:rowOff>
    </xdr:to>
    <xdr:pic>
      <xdr:nvPicPr>
        <xdr:cNvPr id="19" name="Picture 18" descr="clipart">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95900" y="2861734"/>
          <a:ext cx="825047" cy="47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364068</xdr:colOff>
      <xdr:row>19</xdr:row>
      <xdr:rowOff>88900</xdr:rowOff>
    </xdr:from>
    <xdr:to>
      <xdr:col>10</xdr:col>
      <xdr:colOff>42334</xdr:colOff>
      <xdr:row>21</xdr:row>
      <xdr:rowOff>107950</xdr:rowOff>
    </xdr:to>
    <xdr:pic>
      <xdr:nvPicPr>
        <xdr:cNvPr id="20" name="Picture 19" descr="https://cdn1.iconfinder.com/data/icons/ie_Bright/512/plus_add_green.pn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6311901" y="2935817"/>
          <a:ext cx="323850" cy="3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254000</xdr:colOff>
      <xdr:row>19</xdr:row>
      <xdr:rowOff>31750</xdr:rowOff>
    </xdr:from>
    <xdr:to>
      <xdr:col>12</xdr:col>
      <xdr:colOff>168905</xdr:colOff>
      <xdr:row>22</xdr:row>
      <xdr:rowOff>21167</xdr:rowOff>
    </xdr:to>
    <xdr:pic>
      <xdr:nvPicPr>
        <xdr:cNvPr id="21" name="Picture 20" descr="clipart">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47417" y="2878667"/>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389468</xdr:colOff>
      <xdr:row>19</xdr:row>
      <xdr:rowOff>93134</xdr:rowOff>
    </xdr:from>
    <xdr:to>
      <xdr:col>13</xdr:col>
      <xdr:colOff>67734</xdr:colOff>
      <xdr:row>21</xdr:row>
      <xdr:rowOff>112184</xdr:rowOff>
    </xdr:to>
    <xdr:pic>
      <xdr:nvPicPr>
        <xdr:cNvPr id="22" name="Picture 21" descr="https://cdn1.iconfinder.com/data/icons/ie_Bright/512/plus_add_green.pn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8274051" y="2940051"/>
          <a:ext cx="323850" cy="3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639233</xdr:colOff>
      <xdr:row>8</xdr:row>
      <xdr:rowOff>14817</xdr:rowOff>
    </xdr:from>
    <xdr:to>
      <xdr:col>9</xdr:col>
      <xdr:colOff>173114</xdr:colOff>
      <xdr:row>11</xdr:row>
      <xdr:rowOff>47730</xdr:rowOff>
    </xdr:to>
    <xdr:pic>
      <xdr:nvPicPr>
        <xdr:cNvPr id="23" name="Picture 22" descr="clipart">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95900" y="2861734"/>
          <a:ext cx="825047" cy="47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395818</xdr:colOff>
      <xdr:row>8</xdr:row>
      <xdr:rowOff>67734</xdr:rowOff>
    </xdr:from>
    <xdr:to>
      <xdr:col>10</xdr:col>
      <xdr:colOff>74084</xdr:colOff>
      <xdr:row>10</xdr:row>
      <xdr:rowOff>86784</xdr:rowOff>
    </xdr:to>
    <xdr:pic>
      <xdr:nvPicPr>
        <xdr:cNvPr id="24" name="Picture 23" descr="https://cdn1.iconfinder.com/data/icons/ie_Bright/512/plus_add_green.pn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6343651" y="2914651"/>
          <a:ext cx="323850" cy="3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254000</xdr:colOff>
      <xdr:row>8</xdr:row>
      <xdr:rowOff>31750</xdr:rowOff>
    </xdr:from>
    <xdr:ext cx="1206072" cy="444500"/>
    <xdr:pic>
      <xdr:nvPicPr>
        <xdr:cNvPr id="25" name="Picture 24" descr="clipart">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47417" y="2878667"/>
          <a:ext cx="1206072" cy="444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389468</xdr:colOff>
      <xdr:row>8</xdr:row>
      <xdr:rowOff>93134</xdr:rowOff>
    </xdr:from>
    <xdr:to>
      <xdr:col>13</xdr:col>
      <xdr:colOff>67734</xdr:colOff>
      <xdr:row>10</xdr:row>
      <xdr:rowOff>112184</xdr:rowOff>
    </xdr:to>
    <xdr:pic>
      <xdr:nvPicPr>
        <xdr:cNvPr id="26" name="Picture 25" descr="https://cdn1.iconfinder.com/data/icons/ie_Bright/512/plus_add_green.pn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8274051" y="2940051"/>
          <a:ext cx="323850" cy="315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44</xdr:row>
      <xdr:rowOff>61383</xdr:rowOff>
    </xdr:from>
    <xdr:to>
      <xdr:col>2</xdr:col>
      <xdr:colOff>198513</xdr:colOff>
      <xdr:row>47</xdr:row>
      <xdr:rowOff>94296</xdr:rowOff>
    </xdr:to>
    <xdr:pic>
      <xdr:nvPicPr>
        <xdr:cNvPr id="27" name="Picture 26" descr="clipart">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6633" y="6612466"/>
          <a:ext cx="825047" cy="47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357717</xdr:colOff>
      <xdr:row>45</xdr:row>
      <xdr:rowOff>19051</xdr:rowOff>
    </xdr:from>
    <xdr:to>
      <xdr:col>3</xdr:col>
      <xdr:colOff>35984</xdr:colOff>
      <xdr:row>47</xdr:row>
      <xdr:rowOff>38101</xdr:rowOff>
    </xdr:to>
    <xdr:pic>
      <xdr:nvPicPr>
        <xdr:cNvPr id="28" name="Picture 27" descr="https://cdn1.iconfinder.com/data/icons/ie_Bright/512/plus_add_green.pn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140884" y="6781801"/>
          <a:ext cx="32385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211667</xdr:colOff>
      <xdr:row>32</xdr:row>
      <xdr:rowOff>105836</xdr:rowOff>
    </xdr:from>
    <xdr:to>
      <xdr:col>11</xdr:col>
      <xdr:colOff>229144</xdr:colOff>
      <xdr:row>36</xdr:row>
      <xdr:rowOff>105834</xdr:rowOff>
    </xdr:to>
    <xdr:pic>
      <xdr:nvPicPr>
        <xdr:cNvPr id="33" name="Picture 32" descr="clipart">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805084" y="4878919"/>
          <a:ext cx="663061" cy="603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243418</xdr:colOff>
      <xdr:row>7</xdr:row>
      <xdr:rowOff>52916</xdr:rowOff>
    </xdr:from>
    <xdr:to>
      <xdr:col>14</xdr:col>
      <xdr:colOff>341974</xdr:colOff>
      <xdr:row>11</xdr:row>
      <xdr:rowOff>137582</xdr:rowOff>
    </xdr:to>
    <xdr:pic>
      <xdr:nvPicPr>
        <xdr:cNvPr id="40" name="Pictur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9"/>
        <a:stretch>
          <a:fillRect/>
        </a:stretch>
      </xdr:blipFill>
      <xdr:spPr>
        <a:xfrm>
          <a:off x="8128001" y="1121833"/>
          <a:ext cx="744140" cy="687916"/>
        </a:xfrm>
        <a:prstGeom prst="rect">
          <a:avLst/>
        </a:prstGeom>
      </xdr:spPr>
    </xdr:pic>
    <xdr:clientData/>
  </xdr:twoCellAnchor>
  <xdr:twoCellAnchor editAs="oneCell">
    <xdr:from>
      <xdr:col>3</xdr:col>
      <xdr:colOff>201084</xdr:colOff>
      <xdr:row>44</xdr:row>
      <xdr:rowOff>42335</xdr:rowOff>
    </xdr:from>
    <xdr:to>
      <xdr:col>4</xdr:col>
      <xdr:colOff>275970</xdr:colOff>
      <xdr:row>48</xdr:row>
      <xdr:rowOff>105834</xdr:rowOff>
    </xdr:to>
    <xdr:pic>
      <xdr:nvPicPr>
        <xdr:cNvPr id="41" name="Pictur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0"/>
        <a:stretch>
          <a:fillRect/>
        </a:stretch>
      </xdr:blipFill>
      <xdr:spPr>
        <a:xfrm>
          <a:off x="1629834" y="6656918"/>
          <a:ext cx="720469" cy="666749"/>
        </a:xfrm>
        <a:prstGeom prst="rect">
          <a:avLst/>
        </a:prstGeom>
      </xdr:spPr>
    </xdr:pic>
    <xdr:clientData/>
  </xdr:twoCellAnchor>
  <xdr:twoCellAnchor editAs="oneCell">
    <xdr:from>
      <xdr:col>13</xdr:col>
      <xdr:colOff>222250</xdr:colOff>
      <xdr:row>18</xdr:row>
      <xdr:rowOff>74083</xdr:rowOff>
    </xdr:from>
    <xdr:to>
      <xdr:col>14</xdr:col>
      <xdr:colOff>320806</xdr:colOff>
      <xdr:row>23</xdr:row>
      <xdr:rowOff>10582</xdr:rowOff>
    </xdr:to>
    <xdr:pic>
      <xdr:nvPicPr>
        <xdr:cNvPr id="42" name="Pictur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9"/>
        <a:stretch>
          <a:fillRect/>
        </a:stretch>
      </xdr:blipFill>
      <xdr:spPr>
        <a:xfrm>
          <a:off x="8106833" y="2794000"/>
          <a:ext cx="744140" cy="687916"/>
        </a:xfrm>
        <a:prstGeom prst="rect">
          <a:avLst/>
        </a:prstGeom>
      </xdr:spPr>
    </xdr:pic>
    <xdr:clientData/>
  </xdr:twoCellAnchor>
  <xdr:oneCellAnchor>
    <xdr:from>
      <xdr:col>1</xdr:col>
      <xdr:colOff>74081</xdr:colOff>
      <xdr:row>52</xdr:row>
      <xdr:rowOff>135467</xdr:rowOff>
    </xdr:from>
    <xdr:ext cx="963473" cy="615950"/>
    <xdr:pic>
      <xdr:nvPicPr>
        <xdr:cNvPr id="43" name="Picture 42" descr="clipart">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4" y="7914217"/>
          <a:ext cx="963473" cy="615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641351</xdr:colOff>
      <xdr:row>52</xdr:row>
      <xdr:rowOff>135467</xdr:rowOff>
    </xdr:from>
    <xdr:ext cx="678791" cy="615950"/>
    <xdr:pic>
      <xdr:nvPicPr>
        <xdr:cNvPr id="44" name="Picture 43" descr="clipart">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24518" y="7914217"/>
          <a:ext cx="678791" cy="615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234951</xdr:colOff>
      <xdr:row>52</xdr:row>
      <xdr:rowOff>122767</xdr:rowOff>
    </xdr:from>
    <xdr:ext cx="674379" cy="618066"/>
    <xdr:pic>
      <xdr:nvPicPr>
        <xdr:cNvPr id="45" name="Picture 44" descr="clipart">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09284" y="7901517"/>
          <a:ext cx="674379" cy="6180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480485</xdr:colOff>
      <xdr:row>52</xdr:row>
      <xdr:rowOff>137584</xdr:rowOff>
    </xdr:from>
    <xdr:ext cx="657342" cy="613833"/>
    <xdr:pic>
      <xdr:nvPicPr>
        <xdr:cNvPr id="46" name="Picture 45" descr="clipart">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200402" y="7916334"/>
          <a:ext cx="657342" cy="6138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264583</xdr:colOff>
      <xdr:row>52</xdr:row>
      <xdr:rowOff>107950</xdr:rowOff>
    </xdr:from>
    <xdr:ext cx="963473" cy="615950"/>
    <xdr:pic>
      <xdr:nvPicPr>
        <xdr:cNvPr id="47" name="Picture 46" descr="clipart">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1250" y="7886700"/>
          <a:ext cx="963473" cy="615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372537</xdr:colOff>
      <xdr:row>52</xdr:row>
      <xdr:rowOff>116416</xdr:rowOff>
    </xdr:from>
    <xdr:ext cx="674379" cy="618066"/>
    <xdr:pic>
      <xdr:nvPicPr>
        <xdr:cNvPr id="49" name="Picture 48" descr="clipart">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320370" y="7895166"/>
          <a:ext cx="674379" cy="6180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247655</xdr:colOff>
      <xdr:row>52</xdr:row>
      <xdr:rowOff>141817</xdr:rowOff>
    </xdr:from>
    <xdr:ext cx="657342" cy="613833"/>
    <xdr:pic>
      <xdr:nvPicPr>
        <xdr:cNvPr id="50" name="Picture 49" descr="clipart">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132238" y="7920567"/>
          <a:ext cx="657342" cy="6138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611721</xdr:colOff>
      <xdr:row>52</xdr:row>
      <xdr:rowOff>114301</xdr:rowOff>
    </xdr:from>
    <xdr:ext cx="657342" cy="613833"/>
    <xdr:pic>
      <xdr:nvPicPr>
        <xdr:cNvPr id="52" name="Picture 51" descr="clipart">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205138" y="7893051"/>
          <a:ext cx="657342" cy="6138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19050</xdr:rowOff>
    </xdr:from>
    <xdr:to>
      <xdr:col>1</xdr:col>
      <xdr:colOff>790575</xdr:colOff>
      <xdr:row>9</xdr:row>
      <xdr:rowOff>57634</xdr:rowOff>
    </xdr:to>
    <xdr:pic>
      <xdr:nvPicPr>
        <xdr:cNvPr id="2" name="Picture 1" descr="clipar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971550"/>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1400175</xdr:colOff>
      <xdr:row>6</xdr:row>
      <xdr:rowOff>114300</xdr:rowOff>
    </xdr:from>
    <xdr:to>
      <xdr:col>2</xdr:col>
      <xdr:colOff>131733</xdr:colOff>
      <xdr:row>8</xdr:row>
      <xdr:rowOff>108857</xdr:rowOff>
    </xdr:to>
    <xdr:pic>
      <xdr:nvPicPr>
        <xdr:cNvPr id="3" name="Picture 2" descr="https://cdn1.iconfinder.com/data/icons/ie_Bright/512/plus_add_green.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536246" y="912586"/>
          <a:ext cx="373487" cy="30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3486</xdr:rowOff>
    </xdr:from>
    <xdr:to>
      <xdr:col>4</xdr:col>
      <xdr:colOff>104775</xdr:colOff>
      <xdr:row>9</xdr:row>
      <xdr:rowOff>100660</xdr:rowOff>
    </xdr:to>
    <xdr:pic>
      <xdr:nvPicPr>
        <xdr:cNvPr id="4" name="Picture 3" descr="clipart">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66975" y="955986"/>
          <a:ext cx="552450" cy="530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15564</xdr:rowOff>
    </xdr:from>
    <xdr:to>
      <xdr:col>1</xdr:col>
      <xdr:colOff>790575</xdr:colOff>
      <xdr:row>15</xdr:row>
      <xdr:rowOff>54148</xdr:rowOff>
    </xdr:to>
    <xdr:pic>
      <xdr:nvPicPr>
        <xdr:cNvPr id="5" name="Picture 4" descr="clipart">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882464"/>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1400175</xdr:colOff>
      <xdr:row>12</xdr:row>
      <xdr:rowOff>110814</xdr:rowOff>
    </xdr:from>
    <xdr:to>
      <xdr:col>2</xdr:col>
      <xdr:colOff>161925</xdr:colOff>
      <xdr:row>14</xdr:row>
      <xdr:rowOff>129864</xdr:rowOff>
    </xdr:to>
    <xdr:pic>
      <xdr:nvPicPr>
        <xdr:cNvPr id="6" name="Picture 5" descr="https://cdn1.iconfinder.com/data/icons/ie_Bright/512/plus_add_green.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533525" y="1977714"/>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180975</xdr:colOff>
      <xdr:row>11</xdr:row>
      <xdr:rowOff>145087</xdr:rowOff>
    </xdr:from>
    <xdr:to>
      <xdr:col>4</xdr:col>
      <xdr:colOff>104774</xdr:colOff>
      <xdr:row>15</xdr:row>
      <xdr:rowOff>80006</xdr:rowOff>
    </xdr:to>
    <xdr:pic>
      <xdr:nvPicPr>
        <xdr:cNvPr id="7" name="Picture 6" descr="clipart">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6025" y="1859587"/>
          <a:ext cx="533399" cy="512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0</xdr:rowOff>
    </xdr:from>
    <xdr:to>
      <xdr:col>1</xdr:col>
      <xdr:colOff>852993</xdr:colOff>
      <xdr:row>30</xdr:row>
      <xdr:rowOff>4763</xdr:rowOff>
    </xdr:to>
    <xdr:pic>
      <xdr:nvPicPr>
        <xdr:cNvPr id="8" name="Picture 7" descr="clipart">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3350" y="401955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466725</xdr:colOff>
      <xdr:row>26</xdr:row>
      <xdr:rowOff>76510</xdr:rowOff>
    </xdr:from>
    <xdr:to>
      <xdr:col>3</xdr:col>
      <xdr:colOff>339050</xdr:colOff>
      <xdr:row>29</xdr:row>
      <xdr:rowOff>100014</xdr:rowOff>
    </xdr:to>
    <xdr:pic>
      <xdr:nvPicPr>
        <xdr:cNvPr id="9" name="Picture 8" descr="clipart">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62175" y="4096060"/>
          <a:ext cx="481925" cy="45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266701</xdr:colOff>
      <xdr:row>26</xdr:row>
      <xdr:rowOff>63782</xdr:rowOff>
    </xdr:from>
    <xdr:to>
      <xdr:col>5</xdr:col>
      <xdr:colOff>152401</xdr:colOff>
      <xdr:row>29</xdr:row>
      <xdr:rowOff>100014</xdr:rowOff>
    </xdr:to>
    <xdr:pic>
      <xdr:nvPicPr>
        <xdr:cNvPr id="11" name="Picture 10" descr="clipart">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81351" y="4083332"/>
          <a:ext cx="495300" cy="46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40</xdr:row>
      <xdr:rowOff>114300</xdr:rowOff>
    </xdr:from>
    <xdr:to>
      <xdr:col>1</xdr:col>
      <xdr:colOff>881568</xdr:colOff>
      <xdr:row>44</xdr:row>
      <xdr:rowOff>117474</xdr:rowOff>
    </xdr:to>
    <xdr:pic>
      <xdr:nvPicPr>
        <xdr:cNvPr id="12" name="Picture 11" descr="clipart">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1925" y="626745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41</xdr:row>
      <xdr:rowOff>38410</xdr:rowOff>
    </xdr:from>
    <xdr:to>
      <xdr:col>3</xdr:col>
      <xdr:colOff>367625</xdr:colOff>
      <xdr:row>44</xdr:row>
      <xdr:rowOff>61911</xdr:rowOff>
    </xdr:to>
    <xdr:pic>
      <xdr:nvPicPr>
        <xdr:cNvPr id="13" name="Picture 12" descr="clipart">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90750" y="6343960"/>
          <a:ext cx="481925" cy="45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114300</xdr:colOff>
      <xdr:row>41</xdr:row>
      <xdr:rowOff>28574</xdr:rowOff>
    </xdr:from>
    <xdr:to>
      <xdr:col>6</xdr:col>
      <xdr:colOff>599801</xdr:colOff>
      <xdr:row>44</xdr:row>
      <xdr:rowOff>61910</xdr:rowOff>
    </xdr:to>
    <xdr:pic>
      <xdr:nvPicPr>
        <xdr:cNvPr id="14" name="Picture 13" descr="clipart">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48150" y="6334124"/>
          <a:ext cx="485501"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295276</xdr:colOff>
      <xdr:row>41</xdr:row>
      <xdr:rowOff>25682</xdr:rowOff>
    </xdr:from>
    <xdr:to>
      <xdr:col>5</xdr:col>
      <xdr:colOff>180976</xdr:colOff>
      <xdr:row>44</xdr:row>
      <xdr:rowOff>61911</xdr:rowOff>
    </xdr:to>
    <xdr:pic>
      <xdr:nvPicPr>
        <xdr:cNvPr id="17" name="Picture 16" descr="clipart">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09926" y="6331232"/>
          <a:ext cx="495300" cy="46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357186</xdr:colOff>
      <xdr:row>21</xdr:row>
      <xdr:rowOff>28575</xdr:rowOff>
    </xdr:from>
    <xdr:to>
      <xdr:col>16</xdr:col>
      <xdr:colOff>323380</xdr:colOff>
      <xdr:row>46</xdr:row>
      <xdr:rowOff>9109</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4405311" y="3378200"/>
          <a:ext cx="7649694" cy="3949284"/>
          <a:chOff x="2377104" y="3343275"/>
          <a:chExt cx="6671177" cy="3333334"/>
        </a:xfrm>
      </xdr:grpSpPr>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8"/>
          <a:stretch>
            <a:fillRect/>
          </a:stretch>
        </xdr:blipFill>
        <xdr:spPr>
          <a:xfrm>
            <a:off x="5295900" y="3343275"/>
            <a:ext cx="3752381" cy="3333334"/>
          </a:xfrm>
          <a:prstGeom prst="rect">
            <a:avLst/>
          </a:prstGeom>
        </xdr:spPr>
      </xdr:pic>
      <xdr:cxnSp macro="">
        <xdr:nvCxnSpPr>
          <xdr:cNvPr id="20" name="Straight Arrow Connector 19">
            <a:extLst>
              <a:ext uri="{FF2B5EF4-FFF2-40B4-BE49-F238E27FC236}">
                <a16:creationId xmlns:a16="http://schemas.microsoft.com/office/drawing/2014/main" id="{00000000-0008-0000-0400-000014000000}"/>
              </a:ext>
            </a:extLst>
          </xdr:cNvPr>
          <xdr:cNvCxnSpPr/>
        </xdr:nvCxnSpPr>
        <xdr:spPr>
          <a:xfrm>
            <a:off x="2377104" y="4295343"/>
            <a:ext cx="2828744" cy="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0</xdr:colOff>
      <xdr:row>49</xdr:row>
      <xdr:rowOff>0</xdr:rowOff>
    </xdr:from>
    <xdr:to>
      <xdr:col>1</xdr:col>
      <xdr:colOff>852993</xdr:colOff>
      <xdr:row>53</xdr:row>
      <xdr:rowOff>4761</xdr:rowOff>
    </xdr:to>
    <xdr:pic>
      <xdr:nvPicPr>
        <xdr:cNvPr id="21" name="Picture 20" descr="clipart">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3350" y="767715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466725</xdr:colOff>
      <xdr:row>49</xdr:row>
      <xdr:rowOff>76510</xdr:rowOff>
    </xdr:from>
    <xdr:to>
      <xdr:col>3</xdr:col>
      <xdr:colOff>339050</xdr:colOff>
      <xdr:row>52</xdr:row>
      <xdr:rowOff>100012</xdr:rowOff>
    </xdr:to>
    <xdr:pic>
      <xdr:nvPicPr>
        <xdr:cNvPr id="22" name="Picture 21" descr="clipart">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62175" y="7753660"/>
          <a:ext cx="481925" cy="45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304801</xdr:colOff>
      <xdr:row>49</xdr:row>
      <xdr:rowOff>63782</xdr:rowOff>
    </xdr:from>
    <xdr:to>
      <xdr:col>5</xdr:col>
      <xdr:colOff>190501</xdr:colOff>
      <xdr:row>52</xdr:row>
      <xdr:rowOff>100012</xdr:rowOff>
    </xdr:to>
    <xdr:pic>
      <xdr:nvPicPr>
        <xdr:cNvPr id="25" name="Picture 24" descr="clipart">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1" y="7740932"/>
          <a:ext cx="495300" cy="46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114301</xdr:colOff>
      <xdr:row>49</xdr:row>
      <xdr:rowOff>63782</xdr:rowOff>
    </xdr:from>
    <xdr:to>
      <xdr:col>7</xdr:col>
      <xdr:colOff>14489</xdr:colOff>
      <xdr:row>52</xdr:row>
      <xdr:rowOff>116883</xdr:rowOff>
    </xdr:to>
    <xdr:pic>
      <xdr:nvPicPr>
        <xdr:cNvPr id="26" name="Picture 25" descr="clipart">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48151" y="7740932"/>
          <a:ext cx="509788" cy="486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552449</xdr:colOff>
      <xdr:row>41</xdr:row>
      <xdr:rowOff>53015</xdr:rowOff>
    </xdr:from>
    <xdr:to>
      <xdr:col>9</xdr:col>
      <xdr:colOff>400050</xdr:colOff>
      <xdr:row>44</xdr:row>
      <xdr:rowOff>52385</xdr:rowOff>
    </xdr:to>
    <xdr:pic>
      <xdr:nvPicPr>
        <xdr:cNvPr id="28" name="Picture 27" descr="clipart">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95899" y="6358565"/>
          <a:ext cx="1066801" cy="432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552449</xdr:colOff>
      <xdr:row>49</xdr:row>
      <xdr:rowOff>85725</xdr:rowOff>
    </xdr:from>
    <xdr:to>
      <xdr:col>9</xdr:col>
      <xdr:colOff>400050</xdr:colOff>
      <xdr:row>52</xdr:row>
      <xdr:rowOff>85096</xdr:rowOff>
    </xdr:to>
    <xdr:pic>
      <xdr:nvPicPr>
        <xdr:cNvPr id="29" name="Picture 28" descr="clipart">
          <a:extLst>
            <a:ext uri="{FF2B5EF4-FFF2-40B4-BE49-F238E27FC236}">
              <a16:creationId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295899" y="7762875"/>
          <a:ext cx="1066801" cy="432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247650</xdr:colOff>
      <xdr:row>56</xdr:row>
      <xdr:rowOff>171450</xdr:rowOff>
    </xdr:from>
    <xdr:to>
      <xdr:col>3</xdr:col>
      <xdr:colOff>428625</xdr:colOff>
      <xdr:row>56</xdr:row>
      <xdr:rowOff>190500</xdr:rowOff>
    </xdr:to>
    <xdr:cxnSp macro="">
      <xdr:nvCxnSpPr>
        <xdr:cNvPr id="34" name="Straight Arrow Connector 33">
          <a:extLst>
            <a:ext uri="{FF2B5EF4-FFF2-40B4-BE49-F238E27FC236}">
              <a16:creationId xmlns:a16="http://schemas.microsoft.com/office/drawing/2014/main" id="{00000000-0008-0000-0400-000022000000}"/>
            </a:ext>
          </a:extLst>
        </xdr:cNvPr>
        <xdr:cNvCxnSpPr/>
      </xdr:nvCxnSpPr>
      <xdr:spPr>
        <a:xfrm>
          <a:off x="1943100" y="8915400"/>
          <a:ext cx="790575"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89</xdr:row>
      <xdr:rowOff>0</xdr:rowOff>
    </xdr:from>
    <xdr:to>
      <xdr:col>1</xdr:col>
      <xdr:colOff>852993</xdr:colOff>
      <xdr:row>93</xdr:row>
      <xdr:rowOff>4761</xdr:rowOff>
    </xdr:to>
    <xdr:pic>
      <xdr:nvPicPr>
        <xdr:cNvPr id="35" name="Picture 34" descr="clipart">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3350" y="1438275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466725</xdr:colOff>
      <xdr:row>89</xdr:row>
      <xdr:rowOff>76510</xdr:rowOff>
    </xdr:from>
    <xdr:to>
      <xdr:col>3</xdr:col>
      <xdr:colOff>339050</xdr:colOff>
      <xdr:row>92</xdr:row>
      <xdr:rowOff>100012</xdr:rowOff>
    </xdr:to>
    <xdr:pic>
      <xdr:nvPicPr>
        <xdr:cNvPr id="36" name="Picture 35" descr="clipart">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62175" y="14459260"/>
          <a:ext cx="481925" cy="45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304801</xdr:colOff>
      <xdr:row>89</xdr:row>
      <xdr:rowOff>63782</xdr:rowOff>
    </xdr:from>
    <xdr:to>
      <xdr:col>5</xdr:col>
      <xdr:colOff>190501</xdr:colOff>
      <xdr:row>92</xdr:row>
      <xdr:rowOff>100012</xdr:rowOff>
    </xdr:to>
    <xdr:pic>
      <xdr:nvPicPr>
        <xdr:cNvPr id="38" name="Picture 37" descr="clipart">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1" y="14446532"/>
          <a:ext cx="495300" cy="46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1</xdr:col>
      <xdr:colOff>852993</xdr:colOff>
      <xdr:row>65</xdr:row>
      <xdr:rowOff>4762</xdr:rowOff>
    </xdr:to>
    <xdr:pic>
      <xdr:nvPicPr>
        <xdr:cNvPr id="45" name="Picture 44" descr="clipart">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3350" y="996315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466725</xdr:colOff>
      <xdr:row>61</xdr:row>
      <xdr:rowOff>76510</xdr:rowOff>
    </xdr:from>
    <xdr:to>
      <xdr:col>3</xdr:col>
      <xdr:colOff>339050</xdr:colOff>
      <xdr:row>64</xdr:row>
      <xdr:rowOff>100013</xdr:rowOff>
    </xdr:to>
    <xdr:pic>
      <xdr:nvPicPr>
        <xdr:cNvPr id="46" name="Picture 45" descr="clipart">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62175" y="10039660"/>
          <a:ext cx="481925" cy="45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304801</xdr:colOff>
      <xdr:row>61</xdr:row>
      <xdr:rowOff>63782</xdr:rowOff>
    </xdr:from>
    <xdr:to>
      <xdr:col>5</xdr:col>
      <xdr:colOff>190501</xdr:colOff>
      <xdr:row>64</xdr:row>
      <xdr:rowOff>100013</xdr:rowOff>
    </xdr:to>
    <xdr:pic>
      <xdr:nvPicPr>
        <xdr:cNvPr id="49" name="Picture 48" descr="clipart">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1" y="10026932"/>
          <a:ext cx="495300" cy="46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61</xdr:row>
      <xdr:rowOff>75756</xdr:rowOff>
    </xdr:from>
    <xdr:to>
      <xdr:col>7</xdr:col>
      <xdr:colOff>9525</xdr:colOff>
      <xdr:row>64</xdr:row>
      <xdr:rowOff>87325</xdr:rowOff>
    </xdr:to>
    <xdr:pic>
      <xdr:nvPicPr>
        <xdr:cNvPr id="51" name="Picture 50" descr="clipart">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286250" y="10038906"/>
          <a:ext cx="466725" cy="44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244928</xdr:colOff>
      <xdr:row>89</xdr:row>
      <xdr:rowOff>63501</xdr:rowOff>
    </xdr:from>
    <xdr:to>
      <xdr:col>7</xdr:col>
      <xdr:colOff>117253</xdr:colOff>
      <xdr:row>92</xdr:row>
      <xdr:rowOff>87003</xdr:rowOff>
    </xdr:to>
    <xdr:pic>
      <xdr:nvPicPr>
        <xdr:cNvPr id="52" name="Picture 51" descr="clipart">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99214" y="14441715"/>
          <a:ext cx="516396" cy="462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1128486</xdr:colOff>
      <xdr:row>102</xdr:row>
      <xdr:rowOff>123879</xdr:rowOff>
    </xdr:from>
    <xdr:to>
      <xdr:col>2</xdr:col>
      <xdr:colOff>1486807</xdr:colOff>
      <xdr:row>104</xdr:row>
      <xdr:rowOff>144743</xdr:rowOff>
    </xdr:to>
    <xdr:pic>
      <xdr:nvPicPr>
        <xdr:cNvPr id="54" name="Picture 53" descr="https://cdn1.iconfinder.com/data/icons/ie_Bright/512/plus_add_green.png">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264557" y="16506879"/>
          <a:ext cx="358321" cy="338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1614714</xdr:colOff>
      <xdr:row>102</xdr:row>
      <xdr:rowOff>14817</xdr:rowOff>
    </xdr:from>
    <xdr:to>
      <xdr:col>3</xdr:col>
      <xdr:colOff>173113</xdr:colOff>
      <xdr:row>105</xdr:row>
      <xdr:rowOff>63500</xdr:rowOff>
    </xdr:to>
    <xdr:pic>
      <xdr:nvPicPr>
        <xdr:cNvPr id="57" name="Picture 56" descr="clipart">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0785" y="16397817"/>
          <a:ext cx="844399" cy="520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364068</xdr:colOff>
      <xdr:row>102</xdr:row>
      <xdr:rowOff>88900</xdr:rowOff>
    </xdr:from>
    <xdr:to>
      <xdr:col>4</xdr:col>
      <xdr:colOff>42334</xdr:colOff>
      <xdr:row>104</xdr:row>
      <xdr:rowOff>107950</xdr:rowOff>
    </xdr:to>
    <xdr:pic>
      <xdr:nvPicPr>
        <xdr:cNvPr id="58" name="Picture 57" descr="https://cdn1.iconfinder.com/data/icons/ie_Bright/512/plus_add_green.png">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5634568" y="3028950"/>
          <a:ext cx="319616"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254000</xdr:colOff>
      <xdr:row>102</xdr:row>
      <xdr:rowOff>31750</xdr:rowOff>
    </xdr:from>
    <xdr:to>
      <xdr:col>6</xdr:col>
      <xdr:colOff>168905</xdr:colOff>
      <xdr:row>105</xdr:row>
      <xdr:rowOff>47096</xdr:rowOff>
    </xdr:to>
    <xdr:pic>
      <xdr:nvPicPr>
        <xdr:cNvPr id="59" name="Picture 58" descr="clipart">
          <a:extLst>
            <a:ext uri="{FF2B5EF4-FFF2-40B4-BE49-F238E27FC236}">
              <a16:creationId xmlns:a16="http://schemas.microsoft.com/office/drawing/2014/main" id="{00000000-0008-0000-0400-00003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65850" y="2971800"/>
          <a:ext cx="1197605" cy="44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389468</xdr:colOff>
      <xdr:row>102</xdr:row>
      <xdr:rowOff>93134</xdr:rowOff>
    </xdr:from>
    <xdr:to>
      <xdr:col>7</xdr:col>
      <xdr:colOff>67734</xdr:colOff>
      <xdr:row>104</xdr:row>
      <xdr:rowOff>112184</xdr:rowOff>
    </xdr:to>
    <xdr:pic>
      <xdr:nvPicPr>
        <xdr:cNvPr id="60" name="Picture 59" descr="https://cdn1.iconfinder.com/data/icons/ie_Bright/512/plus_add_green.png">
          <a:extLst>
            <a:ext uri="{FF2B5EF4-FFF2-40B4-BE49-F238E27FC236}">
              <a16:creationId xmlns:a16="http://schemas.microsoft.com/office/drawing/2014/main" id="{00000000-0008-0000-0400-00003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7584018" y="3033184"/>
          <a:ext cx="319616"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222250</xdr:colOff>
      <xdr:row>101</xdr:row>
      <xdr:rowOff>74083</xdr:rowOff>
    </xdr:from>
    <xdr:to>
      <xdr:col>8</xdr:col>
      <xdr:colOff>320806</xdr:colOff>
      <xdr:row>106</xdr:row>
      <xdr:rowOff>52386</xdr:rowOff>
    </xdr:to>
    <xdr:pic>
      <xdr:nvPicPr>
        <xdr:cNvPr id="61" name="Picture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13"/>
        <a:stretch>
          <a:fillRect/>
        </a:stretch>
      </xdr:blipFill>
      <xdr:spPr>
        <a:xfrm>
          <a:off x="8058150" y="2861733"/>
          <a:ext cx="739906" cy="700616"/>
        </a:xfrm>
        <a:prstGeom prst="rect">
          <a:avLst/>
        </a:prstGeom>
      </xdr:spPr>
    </xdr:pic>
    <xdr:clientData/>
  </xdr:twoCellAnchor>
  <xdr:oneCellAnchor>
    <xdr:from>
      <xdr:col>1</xdr:col>
      <xdr:colOff>0</xdr:colOff>
      <xdr:row>118</xdr:row>
      <xdr:rowOff>19050</xdr:rowOff>
    </xdr:from>
    <xdr:ext cx="790575" cy="477414"/>
    <xdr:pic>
      <xdr:nvPicPr>
        <xdr:cNvPr id="62" name="Picture 61" descr="clipart">
          <a:extLst>
            <a:ext uri="{FF2B5EF4-FFF2-40B4-BE49-F238E27FC236}">
              <a16:creationId xmlns:a16="http://schemas.microsoft.com/office/drawing/2014/main" id="{00000000-0008-0000-04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1" y="971550"/>
          <a:ext cx="790575" cy="4774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1282247</xdr:colOff>
      <xdr:row>118</xdr:row>
      <xdr:rowOff>87086</xdr:rowOff>
    </xdr:from>
    <xdr:to>
      <xdr:col>2</xdr:col>
      <xdr:colOff>13805</xdr:colOff>
      <xdr:row>120</xdr:row>
      <xdr:rowOff>81643</xdr:rowOff>
    </xdr:to>
    <xdr:pic>
      <xdr:nvPicPr>
        <xdr:cNvPr id="63" name="Picture 62" descr="https://cdn1.iconfinder.com/data/icons/ie_Bright/512/plus_add_green.png">
          <a:extLst>
            <a:ext uri="{FF2B5EF4-FFF2-40B4-BE49-F238E27FC236}">
              <a16:creationId xmlns:a16="http://schemas.microsoft.com/office/drawing/2014/main" id="{00000000-0008-0000-0400-00003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V="1">
          <a:off x="1418318" y="19255015"/>
          <a:ext cx="373487" cy="30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444499</xdr:colOff>
      <xdr:row>117</xdr:row>
      <xdr:rowOff>145144</xdr:rowOff>
    </xdr:from>
    <xdr:to>
      <xdr:col>3</xdr:col>
      <xdr:colOff>362857</xdr:colOff>
      <xdr:row>121</xdr:row>
      <xdr:rowOff>102130</xdr:rowOff>
    </xdr:to>
    <xdr:pic>
      <xdr:nvPicPr>
        <xdr:cNvPr id="65" name="Picture 64" descr="clipart">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22499" y="19158858"/>
          <a:ext cx="562429" cy="550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180975</xdr:colOff>
      <xdr:row>3</xdr:row>
      <xdr:rowOff>14771</xdr:rowOff>
    </xdr:to>
    <xdr:pic>
      <xdr:nvPicPr>
        <xdr:cNvPr id="2" name="Picture 1" descr="clipar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471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xdr:row>
      <xdr:rowOff>123825</xdr:rowOff>
    </xdr:from>
    <xdr:to>
      <xdr:col>1</xdr:col>
      <xdr:colOff>57150</xdr:colOff>
      <xdr:row>8</xdr:row>
      <xdr:rowOff>50241</xdr:rowOff>
    </xdr:to>
    <xdr:pic>
      <xdr:nvPicPr>
        <xdr:cNvPr id="3" name="Picture 2" descr="clipart">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733425"/>
          <a:ext cx="581025" cy="53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1</xdr:row>
      <xdr:rowOff>19050</xdr:rowOff>
    </xdr:from>
    <xdr:to>
      <xdr:col>3</xdr:col>
      <xdr:colOff>485775</xdr:colOff>
      <xdr:row>3</xdr:row>
      <xdr:rowOff>38100</xdr:rowOff>
    </xdr:to>
    <xdr:pic>
      <xdr:nvPicPr>
        <xdr:cNvPr id="4" name="Picture 3" descr="https://cdn1.iconfinder.com/data/icons/ie_Bright/512/plus_add_green.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V="1">
          <a:off x="1990725" y="171450"/>
          <a:ext cx="32385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200025</xdr:colOff>
      <xdr:row>3</xdr:row>
      <xdr:rowOff>57150</xdr:rowOff>
    </xdr:from>
    <xdr:to>
      <xdr:col>5</xdr:col>
      <xdr:colOff>511440</xdr:colOff>
      <xdr:row>7</xdr:row>
      <xdr:rowOff>9525</xdr:rowOff>
    </xdr:to>
    <xdr:pic>
      <xdr:nvPicPr>
        <xdr:cNvPr id="5" name="Picture 4" descr="clipart">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38425" y="514350"/>
          <a:ext cx="92101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0</xdr:row>
      <xdr:rowOff>76200</xdr:rowOff>
    </xdr:from>
    <xdr:to>
      <xdr:col>2</xdr:col>
      <xdr:colOff>500568</xdr:colOff>
      <xdr:row>4</xdr:row>
      <xdr:rowOff>47624</xdr:rowOff>
    </xdr:to>
    <xdr:pic>
      <xdr:nvPicPr>
        <xdr:cNvPr id="6" name="Picture 5" descr="clipart">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6775" y="76200"/>
          <a:ext cx="852993"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600075</xdr:colOff>
      <xdr:row>9</xdr:row>
      <xdr:rowOff>76200</xdr:rowOff>
    </xdr:from>
    <xdr:to>
      <xdr:col>3</xdr:col>
      <xdr:colOff>514980</xdr:colOff>
      <xdr:row>12</xdr:row>
      <xdr:rowOff>76200</xdr:rowOff>
    </xdr:to>
    <xdr:pic>
      <xdr:nvPicPr>
        <xdr:cNvPr id="7" name="Picture 6" descr="clipart">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09675" y="1447800"/>
          <a:ext cx="113410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198437</xdr:colOff>
      <xdr:row>9</xdr:row>
      <xdr:rowOff>55563</xdr:rowOff>
    </xdr:from>
    <xdr:to>
      <xdr:col>1</xdr:col>
      <xdr:colOff>842580</xdr:colOff>
      <xdr:row>12</xdr:row>
      <xdr:rowOff>59551</xdr:rowOff>
    </xdr:to>
    <xdr:pic>
      <xdr:nvPicPr>
        <xdr:cNvPr id="42" name="Picture 41" descr="clipart">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548" y="1417285"/>
          <a:ext cx="644143" cy="448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1172986</xdr:colOff>
      <xdr:row>9</xdr:row>
      <xdr:rowOff>68793</xdr:rowOff>
    </xdr:from>
    <xdr:to>
      <xdr:col>2</xdr:col>
      <xdr:colOff>92298</xdr:colOff>
      <xdr:row>12</xdr:row>
      <xdr:rowOff>141113</xdr:rowOff>
    </xdr:to>
    <xdr:pic>
      <xdr:nvPicPr>
        <xdr:cNvPr id="43" name="Picture 42" descr="clipart">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097" y="1430515"/>
          <a:ext cx="556201" cy="51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450673</xdr:colOff>
      <xdr:row>9</xdr:row>
      <xdr:rowOff>47627</xdr:rowOff>
    </xdr:from>
    <xdr:to>
      <xdr:col>3</xdr:col>
      <xdr:colOff>310015</xdr:colOff>
      <xdr:row>12</xdr:row>
      <xdr:rowOff>137149</xdr:rowOff>
    </xdr:to>
    <xdr:pic>
      <xdr:nvPicPr>
        <xdr:cNvPr id="44" name="Picture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
        <a:stretch>
          <a:fillRect/>
        </a:stretch>
      </xdr:blipFill>
      <xdr:spPr>
        <a:xfrm>
          <a:off x="2228673" y="1409349"/>
          <a:ext cx="550786" cy="534022"/>
        </a:xfrm>
        <a:prstGeom prst="rect">
          <a:avLst/>
        </a:prstGeom>
      </xdr:spPr>
    </xdr:pic>
    <xdr:clientData/>
  </xdr:twoCellAnchor>
  <xdr:twoCellAnchor editAs="oneCell">
    <xdr:from>
      <xdr:col>1</xdr:col>
      <xdr:colOff>409223</xdr:colOff>
      <xdr:row>18</xdr:row>
      <xdr:rowOff>105833</xdr:rowOff>
    </xdr:from>
    <xdr:to>
      <xdr:col>1</xdr:col>
      <xdr:colOff>1199798</xdr:colOff>
      <xdr:row>21</xdr:row>
      <xdr:rowOff>121486</xdr:rowOff>
    </xdr:to>
    <xdr:pic>
      <xdr:nvPicPr>
        <xdr:cNvPr id="45" name="Picture 44" descr="clipart">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0334" y="2949222"/>
          <a:ext cx="790575" cy="467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77612</xdr:colOff>
      <xdr:row>18</xdr:row>
      <xdr:rowOff>119944</xdr:rowOff>
    </xdr:from>
    <xdr:to>
      <xdr:col>3</xdr:col>
      <xdr:colOff>586948</xdr:colOff>
      <xdr:row>21</xdr:row>
      <xdr:rowOff>128234</xdr:rowOff>
    </xdr:to>
    <xdr:pic>
      <xdr:nvPicPr>
        <xdr:cNvPr id="46" name="Picture 45" descr="clipart">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55612" y="2963333"/>
          <a:ext cx="1200780" cy="459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1277057</xdr:colOff>
      <xdr:row>19</xdr:row>
      <xdr:rowOff>14111</xdr:rowOff>
    </xdr:from>
    <xdr:to>
      <xdr:col>1</xdr:col>
      <xdr:colOff>1598260</xdr:colOff>
      <xdr:row>21</xdr:row>
      <xdr:rowOff>38453</xdr:rowOff>
    </xdr:to>
    <xdr:pic>
      <xdr:nvPicPr>
        <xdr:cNvPr id="47" name="Picture 46" descr="https://cdn1.iconfinder.com/data/icons/ie_Bright/512/plus_add_green.png">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V="1">
          <a:off x="1418168" y="3012722"/>
          <a:ext cx="321203"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105832</xdr:colOff>
      <xdr:row>19</xdr:row>
      <xdr:rowOff>35278</xdr:rowOff>
    </xdr:from>
    <xdr:to>
      <xdr:col>4</xdr:col>
      <xdr:colOff>427035</xdr:colOff>
      <xdr:row>21</xdr:row>
      <xdr:rowOff>59620</xdr:rowOff>
    </xdr:to>
    <xdr:pic>
      <xdr:nvPicPr>
        <xdr:cNvPr id="48" name="Picture 47" descr="https://cdn1.iconfinder.com/data/icons/ie_Bright/512/plus_add_green.png">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V="1">
          <a:off x="3167943" y="3033889"/>
          <a:ext cx="321203"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141111</xdr:colOff>
      <xdr:row>34</xdr:row>
      <xdr:rowOff>127001</xdr:rowOff>
    </xdr:from>
    <xdr:to>
      <xdr:col>1</xdr:col>
      <xdr:colOff>785254</xdr:colOff>
      <xdr:row>37</xdr:row>
      <xdr:rowOff>130989</xdr:rowOff>
    </xdr:to>
    <xdr:pic>
      <xdr:nvPicPr>
        <xdr:cNvPr id="50" name="Picture 49" descr="clipart">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222" y="5207001"/>
          <a:ext cx="644143" cy="448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1271411</xdr:colOff>
      <xdr:row>34</xdr:row>
      <xdr:rowOff>110244</xdr:rowOff>
    </xdr:from>
    <xdr:to>
      <xdr:col>2</xdr:col>
      <xdr:colOff>190723</xdr:colOff>
      <xdr:row>38</xdr:row>
      <xdr:rowOff>34397</xdr:rowOff>
    </xdr:to>
    <xdr:pic>
      <xdr:nvPicPr>
        <xdr:cNvPr id="51" name="Picture 50" descr="clipart">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1111" y="5139444"/>
          <a:ext cx="557612" cy="508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452261</xdr:colOff>
      <xdr:row>34</xdr:row>
      <xdr:rowOff>100367</xdr:rowOff>
    </xdr:from>
    <xdr:to>
      <xdr:col>3</xdr:col>
      <xdr:colOff>317018</xdr:colOff>
      <xdr:row>38</xdr:row>
      <xdr:rowOff>24520</xdr:rowOff>
    </xdr:to>
    <xdr:pic>
      <xdr:nvPicPr>
        <xdr:cNvPr id="52" name="Picture 51" descr="clipart">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0261" y="5180367"/>
          <a:ext cx="556201" cy="51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571499</xdr:colOff>
      <xdr:row>35</xdr:row>
      <xdr:rowOff>4410</xdr:rowOff>
    </xdr:from>
    <xdr:to>
      <xdr:col>3</xdr:col>
      <xdr:colOff>141112</xdr:colOff>
      <xdr:row>37</xdr:row>
      <xdr:rowOff>32633</xdr:rowOff>
    </xdr:to>
    <xdr:sp macro="" textlink="">
      <xdr:nvSpPr>
        <xdr:cNvPr id="53" name="TextBox 52">
          <a:extLst>
            <a:ext uri="{FF2B5EF4-FFF2-40B4-BE49-F238E27FC236}">
              <a16:creationId xmlns:a16="http://schemas.microsoft.com/office/drawing/2014/main" id="{00000000-0008-0000-0600-000035000000}"/>
            </a:ext>
          </a:extLst>
        </xdr:cNvPr>
        <xdr:cNvSpPr txBox="1"/>
      </xdr:nvSpPr>
      <xdr:spPr>
        <a:xfrm>
          <a:off x="2349499" y="5076473"/>
          <a:ext cx="260176" cy="313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atin typeface="Arial" panose="020B0604020202020204" pitchFamily="34" charset="0"/>
              <a:cs typeface="Arial" panose="020B0604020202020204" pitchFamily="34" charset="0"/>
            </a:rPr>
            <a:t>9</a:t>
          </a:r>
        </a:p>
      </xdr:txBody>
    </xdr:sp>
    <xdr:clientData/>
  </xdr:twoCellAnchor>
  <xdr:twoCellAnchor editAs="oneCell">
    <xdr:from>
      <xdr:col>1</xdr:col>
      <xdr:colOff>155222</xdr:colOff>
      <xdr:row>41</xdr:row>
      <xdr:rowOff>66146</xdr:rowOff>
    </xdr:from>
    <xdr:to>
      <xdr:col>1</xdr:col>
      <xdr:colOff>799365</xdr:colOff>
      <xdr:row>44</xdr:row>
      <xdr:rowOff>70134</xdr:rowOff>
    </xdr:to>
    <xdr:pic>
      <xdr:nvPicPr>
        <xdr:cNvPr id="54" name="Picture 53" descr="clipart">
          <a:extLst>
            <a:ext uri="{FF2B5EF4-FFF2-40B4-BE49-F238E27FC236}">
              <a16:creationId xmlns:a16="http://schemas.microsoft.com/office/drawing/2014/main" id="{00000000-0008-0000-06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333" y="6331479"/>
          <a:ext cx="644143" cy="448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1265061</xdr:colOff>
      <xdr:row>41</xdr:row>
      <xdr:rowOff>25401</xdr:rowOff>
    </xdr:from>
    <xdr:to>
      <xdr:col>2</xdr:col>
      <xdr:colOff>184373</xdr:colOff>
      <xdr:row>44</xdr:row>
      <xdr:rowOff>97721</xdr:rowOff>
    </xdr:to>
    <xdr:pic>
      <xdr:nvPicPr>
        <xdr:cNvPr id="55" name="Picture 54" descr="clipart">
          <a:extLst>
            <a:ext uri="{FF2B5EF4-FFF2-40B4-BE49-F238E27FC236}">
              <a16:creationId xmlns:a16="http://schemas.microsoft.com/office/drawing/2014/main" id="{00000000-0008-0000-06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4761" y="6083301"/>
          <a:ext cx="557612" cy="51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439561</xdr:colOff>
      <xdr:row>41</xdr:row>
      <xdr:rowOff>23990</xdr:rowOff>
    </xdr:from>
    <xdr:to>
      <xdr:col>3</xdr:col>
      <xdr:colOff>304318</xdr:colOff>
      <xdr:row>44</xdr:row>
      <xdr:rowOff>96310</xdr:rowOff>
    </xdr:to>
    <xdr:pic>
      <xdr:nvPicPr>
        <xdr:cNvPr id="56" name="Picture 55" descr="clipart">
          <a:extLst>
            <a:ext uri="{FF2B5EF4-FFF2-40B4-BE49-F238E27FC236}">
              <a16:creationId xmlns:a16="http://schemas.microsoft.com/office/drawing/2014/main" id="{00000000-0008-0000-0600-00003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7561" y="6081890"/>
          <a:ext cx="556907" cy="51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546100</xdr:colOff>
      <xdr:row>41</xdr:row>
      <xdr:rowOff>88900</xdr:rowOff>
    </xdr:from>
    <xdr:to>
      <xdr:col>3</xdr:col>
      <xdr:colOff>109363</xdr:colOff>
      <xdr:row>43</xdr:row>
      <xdr:rowOff>81668</xdr:rowOff>
    </xdr:to>
    <xdr:sp macro="" textlink="">
      <xdr:nvSpPr>
        <xdr:cNvPr id="57" name="TextBox 56">
          <a:extLst>
            <a:ext uri="{FF2B5EF4-FFF2-40B4-BE49-F238E27FC236}">
              <a16:creationId xmlns:a16="http://schemas.microsoft.com/office/drawing/2014/main" id="{00000000-0008-0000-0600-000039000000}"/>
            </a:ext>
          </a:extLst>
        </xdr:cNvPr>
        <xdr:cNvSpPr txBox="1"/>
      </xdr:nvSpPr>
      <xdr:spPr>
        <a:xfrm>
          <a:off x="2324100" y="6146800"/>
          <a:ext cx="255413" cy="284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atin typeface="Arial" panose="020B0604020202020204" pitchFamily="34" charset="0"/>
              <a:cs typeface="Arial" panose="020B0604020202020204" pitchFamily="34" charset="0"/>
            </a:rPr>
            <a:t>0</a:t>
          </a:r>
        </a:p>
      </xdr:txBody>
    </xdr:sp>
    <xdr:clientData/>
  </xdr:twoCellAnchor>
  <xdr:twoCellAnchor editAs="oneCell">
    <xdr:from>
      <xdr:col>1</xdr:col>
      <xdr:colOff>188559</xdr:colOff>
      <xdr:row>50</xdr:row>
      <xdr:rowOff>66852</xdr:rowOff>
    </xdr:from>
    <xdr:to>
      <xdr:col>1</xdr:col>
      <xdr:colOff>832702</xdr:colOff>
      <xdr:row>53</xdr:row>
      <xdr:rowOff>70840</xdr:rowOff>
    </xdr:to>
    <xdr:pic>
      <xdr:nvPicPr>
        <xdr:cNvPr id="58" name="Picture 57" descr="clipart">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670" y="7665685"/>
          <a:ext cx="644143" cy="448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1211615</xdr:colOff>
      <xdr:row>50</xdr:row>
      <xdr:rowOff>80962</xdr:rowOff>
    </xdr:from>
    <xdr:to>
      <xdr:col>2</xdr:col>
      <xdr:colOff>89989</xdr:colOff>
      <xdr:row>53</xdr:row>
      <xdr:rowOff>88591</xdr:rowOff>
    </xdr:to>
    <xdr:pic>
      <xdr:nvPicPr>
        <xdr:cNvPr id="59" name="Picture 58" descr="clipart">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52726" y="7531629"/>
          <a:ext cx="515263" cy="452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158749</xdr:colOff>
      <xdr:row>56</xdr:row>
      <xdr:rowOff>50801</xdr:rowOff>
    </xdr:from>
    <xdr:ext cx="662691" cy="423659"/>
    <xdr:pic>
      <xdr:nvPicPr>
        <xdr:cNvPr id="60" name="Picture 59" descr="clipart">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8305801"/>
          <a:ext cx="662691" cy="4236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1221317</xdr:colOff>
      <xdr:row>56</xdr:row>
      <xdr:rowOff>46566</xdr:rowOff>
    </xdr:from>
    <xdr:ext cx="531838" cy="482602"/>
    <xdr:pic>
      <xdr:nvPicPr>
        <xdr:cNvPr id="64" name="Picture 63" descr="clipart">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1017" y="8301566"/>
          <a:ext cx="531838" cy="4826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351368</xdr:colOff>
      <xdr:row>56</xdr:row>
      <xdr:rowOff>55034</xdr:rowOff>
    </xdr:from>
    <xdr:ext cx="534929" cy="490261"/>
    <xdr:pic>
      <xdr:nvPicPr>
        <xdr:cNvPr id="65" name="Picture 64" descr="clipart">
          <a:extLst>
            <a:ext uri="{FF2B5EF4-FFF2-40B4-BE49-F238E27FC236}">
              <a16:creationId xmlns:a16="http://schemas.microsoft.com/office/drawing/2014/main" id="{00000000-0008-0000-0600-00004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29368" y="8310034"/>
          <a:ext cx="534929" cy="4902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450852</xdr:colOff>
      <xdr:row>56</xdr:row>
      <xdr:rowOff>67733</xdr:rowOff>
    </xdr:from>
    <xdr:ext cx="539748" cy="497921"/>
    <xdr:pic>
      <xdr:nvPicPr>
        <xdr:cNvPr id="66" name="Picture 65" descr="clipart">
          <a:extLst>
            <a:ext uri="{FF2B5EF4-FFF2-40B4-BE49-F238E27FC236}">
              <a16:creationId xmlns:a16="http://schemas.microsoft.com/office/drawing/2014/main" id="{00000000-0008-0000-0600-00004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21002" y="8322733"/>
          <a:ext cx="539748" cy="4979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114300</xdr:colOff>
      <xdr:row>63</xdr:row>
      <xdr:rowOff>0</xdr:rowOff>
    </xdr:from>
    <xdr:to>
      <xdr:col>1</xdr:col>
      <xdr:colOff>904875</xdr:colOff>
      <xdr:row>66</xdr:row>
      <xdr:rowOff>22003</xdr:rowOff>
    </xdr:to>
    <xdr:pic>
      <xdr:nvPicPr>
        <xdr:cNvPr id="72" name="Picture 71" descr="clipart">
          <a:extLst>
            <a:ext uri="{FF2B5EF4-FFF2-40B4-BE49-F238E27FC236}">
              <a16:creationId xmlns:a16="http://schemas.microsoft.com/office/drawing/2014/main" id="{00000000-0008-0000-0600-00004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000" y="9290050"/>
          <a:ext cx="790575" cy="460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1037168</xdr:colOff>
      <xdr:row>63</xdr:row>
      <xdr:rowOff>53622</xdr:rowOff>
    </xdr:from>
    <xdr:to>
      <xdr:col>1</xdr:col>
      <xdr:colOff>1358371</xdr:colOff>
      <xdr:row>65</xdr:row>
      <xdr:rowOff>77964</xdr:rowOff>
    </xdr:to>
    <xdr:pic>
      <xdr:nvPicPr>
        <xdr:cNvPr id="73" name="Picture 72" descr="https://cdn1.iconfinder.com/data/icons/ie_Bright/512/plus_add_green.png">
          <a:extLst>
            <a:ext uri="{FF2B5EF4-FFF2-40B4-BE49-F238E27FC236}">
              <a16:creationId xmlns:a16="http://schemas.microsoft.com/office/drawing/2014/main" id="{00000000-0008-0000-0600-00004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flipV="1">
          <a:off x="1176868" y="9343672"/>
          <a:ext cx="321203" cy="316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1563511</xdr:colOff>
      <xdr:row>62</xdr:row>
      <xdr:rowOff>100190</xdr:rowOff>
    </xdr:from>
    <xdr:to>
      <xdr:col>2</xdr:col>
      <xdr:colOff>482118</xdr:colOff>
      <xdr:row>66</xdr:row>
      <xdr:rowOff>26460</xdr:rowOff>
    </xdr:to>
    <xdr:pic>
      <xdr:nvPicPr>
        <xdr:cNvPr id="74" name="Picture 73" descr="clipart">
          <a:extLst>
            <a:ext uri="{FF2B5EF4-FFF2-40B4-BE49-F238E27FC236}">
              <a16:creationId xmlns:a16="http://schemas.microsoft.com/office/drawing/2014/main" id="{00000000-0008-0000-0600-00004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3211" y="9244190"/>
          <a:ext cx="556907" cy="51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31750</xdr:colOff>
      <xdr:row>63</xdr:row>
      <xdr:rowOff>19050</xdr:rowOff>
    </xdr:from>
    <xdr:to>
      <xdr:col>2</xdr:col>
      <xdr:colOff>287163</xdr:colOff>
      <xdr:row>65</xdr:row>
      <xdr:rowOff>11818</xdr:rowOff>
    </xdr:to>
    <xdr:sp macro="" textlink="">
      <xdr:nvSpPr>
        <xdr:cNvPr id="75" name="TextBox 74">
          <a:extLst>
            <a:ext uri="{FF2B5EF4-FFF2-40B4-BE49-F238E27FC236}">
              <a16:creationId xmlns:a16="http://schemas.microsoft.com/office/drawing/2014/main" id="{00000000-0008-0000-0600-00004B000000}"/>
            </a:ext>
          </a:extLst>
        </xdr:cNvPr>
        <xdr:cNvSpPr txBox="1"/>
      </xdr:nvSpPr>
      <xdr:spPr>
        <a:xfrm>
          <a:off x="1809750" y="9309100"/>
          <a:ext cx="255413" cy="284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latin typeface="Arial" panose="020B0604020202020204" pitchFamily="34" charset="0"/>
              <a:cs typeface="Arial" panose="020B0604020202020204" pitchFamily="34" charset="0"/>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468313</xdr:colOff>
      <xdr:row>157</xdr:row>
      <xdr:rowOff>15874</xdr:rowOff>
    </xdr:from>
    <xdr:to>
      <xdr:col>3</xdr:col>
      <xdr:colOff>476251</xdr:colOff>
      <xdr:row>158</xdr:row>
      <xdr:rowOff>142875</xdr:rowOff>
    </xdr:to>
    <xdr:cxnSp macro="">
      <xdr:nvCxnSpPr>
        <xdr:cNvPr id="5" name="Straight Arrow Connector 4">
          <a:extLst>
            <a:ext uri="{FF2B5EF4-FFF2-40B4-BE49-F238E27FC236}">
              <a16:creationId xmlns:a16="http://schemas.microsoft.com/office/drawing/2014/main" id="{00000000-0008-0000-1100-000005000000}"/>
            </a:ext>
          </a:extLst>
        </xdr:cNvPr>
        <xdr:cNvCxnSpPr/>
      </xdr:nvCxnSpPr>
      <xdr:spPr>
        <a:xfrm flipH="1">
          <a:off x="1635126" y="25217437"/>
          <a:ext cx="7938" cy="293688"/>
        </a:xfrm>
        <a:prstGeom prst="straightConnector1">
          <a:avLst/>
        </a:prstGeom>
        <a:ln w="19050">
          <a:solidFill>
            <a:srgbClr val="0000FF"/>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100852</xdr:colOff>
      <xdr:row>74</xdr:row>
      <xdr:rowOff>81429</xdr:rowOff>
    </xdr:from>
    <xdr:to>
      <xdr:col>9</xdr:col>
      <xdr:colOff>115793</xdr:colOff>
      <xdr:row>92</xdr:row>
      <xdr:rowOff>746</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150812</xdr:colOff>
      <xdr:row>27</xdr:row>
      <xdr:rowOff>95251</xdr:rowOff>
    </xdr:from>
    <xdr:to>
      <xdr:col>7</xdr:col>
      <xdr:colOff>507643</xdr:colOff>
      <xdr:row>32</xdr:row>
      <xdr:rowOff>127001</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rotWithShape="1">
        <a:blip xmlns:r="http://schemas.openxmlformats.org/officeDocument/2006/relationships" r:embed="rId1"/>
        <a:srcRect t="-1" b="2611"/>
        <a:stretch/>
      </xdr:blipFill>
      <xdr:spPr>
        <a:xfrm>
          <a:off x="5699125" y="1841501"/>
          <a:ext cx="2857143" cy="825500"/>
        </a:xfrm>
        <a:prstGeom prst="rect">
          <a:avLst/>
        </a:prstGeom>
      </xdr:spPr>
    </xdr:pic>
    <xdr:clientData/>
  </xdr:twoCellAnchor>
  <xdr:twoCellAnchor>
    <xdr:from>
      <xdr:col>4</xdr:col>
      <xdr:colOff>119061</xdr:colOff>
      <xdr:row>27</xdr:row>
      <xdr:rowOff>47626</xdr:rowOff>
    </xdr:from>
    <xdr:to>
      <xdr:col>5</xdr:col>
      <xdr:colOff>642937</xdr:colOff>
      <xdr:row>30</xdr:row>
      <xdr:rowOff>127000</xdr:rowOff>
    </xdr:to>
    <xdr:sp macro="" textlink="">
      <xdr:nvSpPr>
        <xdr:cNvPr id="4" name="Oval 3">
          <a:extLst>
            <a:ext uri="{FF2B5EF4-FFF2-40B4-BE49-F238E27FC236}">
              <a16:creationId xmlns:a16="http://schemas.microsoft.com/office/drawing/2014/main" id="{00000000-0008-0000-1E00-000004000000}"/>
            </a:ext>
          </a:extLst>
        </xdr:cNvPr>
        <xdr:cNvSpPr/>
      </xdr:nvSpPr>
      <xdr:spPr>
        <a:xfrm>
          <a:off x="4651374" y="1325564"/>
          <a:ext cx="1293813" cy="5556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174626</xdr:colOff>
      <xdr:row>26</xdr:row>
      <xdr:rowOff>39687</xdr:rowOff>
    </xdr:from>
    <xdr:to>
      <xdr:col>4</xdr:col>
      <xdr:colOff>308536</xdr:colOff>
      <xdr:row>27</xdr:row>
      <xdr:rowOff>128995</xdr:rowOff>
    </xdr:to>
    <xdr:cxnSp macro="">
      <xdr:nvCxnSpPr>
        <xdr:cNvPr id="5" name="Straight Arrow Connector 4">
          <a:extLst>
            <a:ext uri="{FF2B5EF4-FFF2-40B4-BE49-F238E27FC236}">
              <a16:creationId xmlns:a16="http://schemas.microsoft.com/office/drawing/2014/main" id="{00000000-0008-0000-1E00-000005000000}"/>
            </a:ext>
          </a:extLst>
        </xdr:cNvPr>
        <xdr:cNvCxnSpPr>
          <a:stCxn id="4" idx="1"/>
        </xdr:cNvCxnSpPr>
      </xdr:nvCxnSpPr>
      <xdr:spPr>
        <a:xfrm flipH="1" flipV="1">
          <a:off x="4706939" y="1158875"/>
          <a:ext cx="133910" cy="248058"/>
        </a:xfrm>
        <a:prstGeom prst="straightConnector1">
          <a:avLst/>
        </a:prstGeom>
        <a:ln w="127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515940</xdr:colOff>
      <xdr:row>30</xdr:row>
      <xdr:rowOff>55565</xdr:rowOff>
    </xdr:from>
    <xdr:to>
      <xdr:col>6</xdr:col>
      <xdr:colOff>777876</xdr:colOff>
      <xdr:row>31</xdr:row>
      <xdr:rowOff>111126</xdr:rowOff>
    </xdr:to>
    <xdr:sp macro="" textlink="">
      <xdr:nvSpPr>
        <xdr:cNvPr id="29" name="Oval 28">
          <a:extLst>
            <a:ext uri="{FF2B5EF4-FFF2-40B4-BE49-F238E27FC236}">
              <a16:creationId xmlns:a16="http://schemas.microsoft.com/office/drawing/2014/main" id="{00000000-0008-0000-1E00-00001D000000}"/>
            </a:ext>
          </a:extLst>
        </xdr:cNvPr>
        <xdr:cNvSpPr/>
      </xdr:nvSpPr>
      <xdr:spPr>
        <a:xfrm flipV="1">
          <a:off x="6834190" y="2278065"/>
          <a:ext cx="1119186" cy="214311"/>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111125</xdr:colOff>
      <xdr:row>31</xdr:row>
      <xdr:rowOff>3970</xdr:rowOff>
    </xdr:from>
    <xdr:to>
      <xdr:col>5</xdr:col>
      <xdr:colOff>515940</xdr:colOff>
      <xdr:row>33</xdr:row>
      <xdr:rowOff>23812</xdr:rowOff>
    </xdr:to>
    <xdr:cxnSp macro="">
      <xdr:nvCxnSpPr>
        <xdr:cNvPr id="30" name="Straight Arrow Connector 29">
          <a:extLst>
            <a:ext uri="{FF2B5EF4-FFF2-40B4-BE49-F238E27FC236}">
              <a16:creationId xmlns:a16="http://schemas.microsoft.com/office/drawing/2014/main" id="{00000000-0008-0000-1E00-00001E000000}"/>
            </a:ext>
          </a:extLst>
        </xdr:cNvPr>
        <xdr:cNvCxnSpPr>
          <a:stCxn id="29" idx="2"/>
        </xdr:cNvCxnSpPr>
      </xdr:nvCxnSpPr>
      <xdr:spPr>
        <a:xfrm flipH="1">
          <a:off x="3810000" y="1916908"/>
          <a:ext cx="2206628" cy="337342"/>
        </a:xfrm>
        <a:prstGeom prst="straightConnector1">
          <a:avLst/>
        </a:prstGeom>
        <a:ln w="12700">
          <a:solidFill>
            <a:srgbClr val="0070C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809626</xdr:colOff>
      <xdr:row>27</xdr:row>
      <xdr:rowOff>47626</xdr:rowOff>
    </xdr:from>
    <xdr:to>
      <xdr:col>7</xdr:col>
      <xdr:colOff>531814</xdr:colOff>
      <xdr:row>32</xdr:row>
      <xdr:rowOff>63499</xdr:rowOff>
    </xdr:to>
    <xdr:sp macro="" textlink="">
      <xdr:nvSpPr>
        <xdr:cNvPr id="42" name="Oval 41">
          <a:extLst>
            <a:ext uri="{FF2B5EF4-FFF2-40B4-BE49-F238E27FC236}">
              <a16:creationId xmlns:a16="http://schemas.microsoft.com/office/drawing/2014/main" id="{00000000-0008-0000-1E00-00002A000000}"/>
            </a:ext>
          </a:extLst>
        </xdr:cNvPr>
        <xdr:cNvSpPr/>
      </xdr:nvSpPr>
      <xdr:spPr>
        <a:xfrm>
          <a:off x="7985126" y="1325564"/>
          <a:ext cx="595313" cy="809623"/>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539750</xdr:colOff>
      <xdr:row>31</xdr:row>
      <xdr:rowOff>103682</xdr:rowOff>
    </xdr:from>
    <xdr:to>
      <xdr:col>7</xdr:col>
      <xdr:colOff>23683</xdr:colOff>
      <xdr:row>34</xdr:row>
      <xdr:rowOff>142875</xdr:rowOff>
    </xdr:to>
    <xdr:cxnSp macro="">
      <xdr:nvCxnSpPr>
        <xdr:cNvPr id="43" name="Straight Arrow Connector 42">
          <a:extLst>
            <a:ext uri="{FF2B5EF4-FFF2-40B4-BE49-F238E27FC236}">
              <a16:creationId xmlns:a16="http://schemas.microsoft.com/office/drawing/2014/main" id="{00000000-0008-0000-1E00-00002B000000}"/>
            </a:ext>
          </a:extLst>
        </xdr:cNvPr>
        <xdr:cNvCxnSpPr>
          <a:stCxn id="42" idx="3"/>
        </xdr:cNvCxnSpPr>
      </xdr:nvCxnSpPr>
      <xdr:spPr>
        <a:xfrm flipH="1">
          <a:off x="7715250" y="2016620"/>
          <a:ext cx="357058" cy="515443"/>
        </a:xfrm>
        <a:prstGeom prst="straightConnector1">
          <a:avLst/>
        </a:prstGeom>
        <a:ln w="12700">
          <a:solidFill>
            <a:srgbClr val="7030A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87313</xdr:colOff>
      <xdr:row>43</xdr:row>
      <xdr:rowOff>142875</xdr:rowOff>
    </xdr:from>
    <xdr:to>
      <xdr:col>5</xdr:col>
      <xdr:colOff>113668</xdr:colOff>
      <xdr:row>61</xdr:row>
      <xdr:rowOff>85375</xdr:rowOff>
    </xdr:to>
    <xdr:pic>
      <xdr:nvPicPr>
        <xdr:cNvPr id="13" name="Picture 12">
          <a:extLst>
            <a:ext uri="{FF2B5EF4-FFF2-40B4-BE49-F238E27FC236}">
              <a16:creationId xmlns:a16="http://schemas.microsoft.com/office/drawing/2014/main" id="{00000000-0008-0000-1E00-00000D000000}"/>
            </a:ext>
          </a:extLst>
        </xdr:cNvPr>
        <xdr:cNvPicPr>
          <a:picLocks noChangeAspect="1"/>
        </xdr:cNvPicPr>
      </xdr:nvPicPr>
      <xdr:blipFill>
        <a:blip xmlns:r="http://schemas.openxmlformats.org/officeDocument/2006/relationships" r:embed="rId2"/>
        <a:stretch>
          <a:fillRect/>
        </a:stretch>
      </xdr:blipFill>
      <xdr:spPr>
        <a:xfrm>
          <a:off x="349251" y="3968750"/>
          <a:ext cx="5066667" cy="2800000"/>
        </a:xfrm>
        <a:prstGeom prst="rect">
          <a:avLst/>
        </a:prstGeom>
      </xdr:spPr>
    </xdr:pic>
    <xdr:clientData/>
  </xdr:twoCellAnchor>
  <xdr:twoCellAnchor>
    <xdr:from>
      <xdr:col>0</xdr:col>
      <xdr:colOff>158751</xdr:colOff>
      <xdr:row>45</xdr:row>
      <xdr:rowOff>119062</xdr:rowOff>
    </xdr:from>
    <xdr:to>
      <xdr:col>4</xdr:col>
      <xdr:colOff>555625</xdr:colOff>
      <xdr:row>50</xdr:row>
      <xdr:rowOff>134935</xdr:rowOff>
    </xdr:to>
    <xdr:sp macro="" textlink="">
      <xdr:nvSpPr>
        <xdr:cNvPr id="20" name="Oval 19">
          <a:extLst>
            <a:ext uri="{FF2B5EF4-FFF2-40B4-BE49-F238E27FC236}">
              <a16:creationId xmlns:a16="http://schemas.microsoft.com/office/drawing/2014/main" id="{00000000-0008-0000-1E00-000014000000}"/>
            </a:ext>
          </a:extLst>
        </xdr:cNvPr>
        <xdr:cNvSpPr/>
      </xdr:nvSpPr>
      <xdr:spPr>
        <a:xfrm>
          <a:off x="158751" y="4262437"/>
          <a:ext cx="4929187" cy="809623"/>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555625</xdr:colOff>
      <xdr:row>47</xdr:row>
      <xdr:rowOff>87313</xdr:rowOff>
    </xdr:from>
    <xdr:to>
      <xdr:col>5</xdr:col>
      <xdr:colOff>833438</xdr:colOff>
      <xdr:row>48</xdr:row>
      <xdr:rowOff>47624</xdr:rowOff>
    </xdr:to>
    <xdr:cxnSp macro="">
      <xdr:nvCxnSpPr>
        <xdr:cNvPr id="21" name="Straight Arrow Connector 20">
          <a:extLst>
            <a:ext uri="{FF2B5EF4-FFF2-40B4-BE49-F238E27FC236}">
              <a16:creationId xmlns:a16="http://schemas.microsoft.com/office/drawing/2014/main" id="{00000000-0008-0000-1E00-000015000000}"/>
            </a:ext>
          </a:extLst>
        </xdr:cNvPr>
        <xdr:cNvCxnSpPr>
          <a:stCxn id="20" idx="6"/>
        </xdr:cNvCxnSpPr>
      </xdr:nvCxnSpPr>
      <xdr:spPr>
        <a:xfrm flipV="1">
          <a:off x="5087938" y="4548188"/>
          <a:ext cx="1047750" cy="119061"/>
        </a:xfrm>
        <a:prstGeom prst="straightConnector1">
          <a:avLst/>
        </a:prstGeom>
        <a:ln w="12700">
          <a:solidFill>
            <a:srgbClr val="00B05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39688</xdr:colOff>
      <xdr:row>52</xdr:row>
      <xdr:rowOff>95250</xdr:rowOff>
    </xdr:from>
    <xdr:to>
      <xdr:col>1</xdr:col>
      <xdr:colOff>1809750</xdr:colOff>
      <xdr:row>57</xdr:row>
      <xdr:rowOff>111123</xdr:rowOff>
    </xdr:to>
    <xdr:sp macro="" textlink="">
      <xdr:nvSpPr>
        <xdr:cNvPr id="25" name="Oval 24">
          <a:extLst>
            <a:ext uri="{FF2B5EF4-FFF2-40B4-BE49-F238E27FC236}">
              <a16:creationId xmlns:a16="http://schemas.microsoft.com/office/drawing/2014/main" id="{00000000-0008-0000-1E00-000019000000}"/>
            </a:ext>
          </a:extLst>
        </xdr:cNvPr>
        <xdr:cNvSpPr/>
      </xdr:nvSpPr>
      <xdr:spPr>
        <a:xfrm>
          <a:off x="301626" y="5349875"/>
          <a:ext cx="1770062" cy="809623"/>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1785937</xdr:colOff>
      <xdr:row>55</xdr:row>
      <xdr:rowOff>23813</xdr:rowOff>
    </xdr:from>
    <xdr:to>
      <xdr:col>5</xdr:col>
      <xdr:colOff>809625</xdr:colOff>
      <xdr:row>55</xdr:row>
      <xdr:rowOff>47625</xdr:rowOff>
    </xdr:to>
    <xdr:cxnSp macro="">
      <xdr:nvCxnSpPr>
        <xdr:cNvPr id="26" name="Straight Arrow Connector 25">
          <a:extLst>
            <a:ext uri="{FF2B5EF4-FFF2-40B4-BE49-F238E27FC236}">
              <a16:creationId xmlns:a16="http://schemas.microsoft.com/office/drawing/2014/main" id="{00000000-0008-0000-1E00-00001A000000}"/>
            </a:ext>
          </a:extLst>
        </xdr:cNvPr>
        <xdr:cNvCxnSpPr/>
      </xdr:nvCxnSpPr>
      <xdr:spPr>
        <a:xfrm>
          <a:off x="2047875" y="5754688"/>
          <a:ext cx="4064000" cy="23812"/>
        </a:xfrm>
        <a:prstGeom prst="straightConnector1">
          <a:avLst/>
        </a:prstGeom>
        <a:ln w="12700">
          <a:solidFill>
            <a:schemeClr val="accent6"/>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FINANCE/97REPRTS/KEYMEAS/DKEYMS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YDNEY/SYDNTAS/_Project%20Finance%20Advisory/Service%20Admin/35.%20Modelling/03%20Excel%20Tips/VBM/Training_Questions&amp;Answers%2030-11-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u/eydata/Users/Max%20Oke/Documents/1%20Audit/2013/Tom%20Waterhouse/Final%20TB%20for%20mapp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XTELNSW/USERS/FINANCE/Reforecasts/F01/F01%20-%20January/Vari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Growth R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s &amp; text"/>
      <sheetName val="Filter&amp;Group"/>
      <sheetName val="Logic"/>
      <sheetName val="Con_Format"/>
      <sheetName val="Sumproduct"/>
      <sheetName val="Pivot table instructions"/>
      <sheetName val="Pivot table WIP source data"/>
      <sheetName val="Pivot table report -by staff"/>
      <sheetName val="Pivot table report -by activity"/>
      <sheetName val="Pivot table report -by SMU"/>
      <sheetName val="Pivot table report-by staff(A)"/>
      <sheetName val="Pivot tablereport-byactivity(A)"/>
      <sheetName val="Pivot table report -by SMU (A)"/>
      <sheetName val="Shortcuts"/>
      <sheetName val="Index"/>
      <sheetName val="Index match"/>
      <sheetName val="Data table"/>
      <sheetName val="Charts"/>
      <sheetName val="Formula Auditing Tools"/>
      <sheetName val="Formula Auditing Tools Data"/>
      <sheetName val="NPV"/>
      <sheetName val="PMT IPMT PPMT"/>
      <sheetName val="PV FV"/>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
          <cell r="C12" t="str">
            <v>Garnaut 10</v>
          </cell>
        </row>
        <row r="13">
          <cell r="C13" t="str">
            <v>Garnaut 15</v>
          </cell>
        </row>
        <row r="14">
          <cell r="C14" t="str">
            <v>Carbon</v>
          </cell>
        </row>
        <row r="15">
          <cell r="C15" t="str">
            <v>Treasury CPRS -5</v>
          </cell>
        </row>
        <row r="16">
          <cell r="C16" t="str">
            <v>Treasury CPRS -15</v>
          </cell>
        </row>
        <row r="98">
          <cell r="D98" t="str">
            <v>North</v>
          </cell>
          <cell r="E98" t="str">
            <v>South</v>
          </cell>
          <cell r="F98" t="str">
            <v>East</v>
          </cell>
          <cell r="G98" t="str">
            <v>West</v>
          </cell>
        </row>
        <row r="99">
          <cell r="C99" t="str">
            <v>USA</v>
          </cell>
        </row>
        <row r="100">
          <cell r="C100" t="str">
            <v>China</v>
          </cell>
        </row>
        <row r="101">
          <cell r="C101" t="str">
            <v>Russia</v>
          </cell>
        </row>
        <row r="102">
          <cell r="C102" t="str">
            <v>Brazil</v>
          </cell>
        </row>
      </sheetData>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ity"/>
      <sheetName val="Aggregation"/>
      <sheetName val="TW-VIC-TB-FY13 31 Dec"/>
      <sheetName val="TW-VIC-TB-FY12"/>
      <sheetName val="TW-VIC-TB-FY11"/>
      <sheetName val="TW-VIC-TB-FY10"/>
      <sheetName val="TW-NT-TB-FY13 31 Dec"/>
      <sheetName val="TW-NT-TB-FY12"/>
      <sheetName val="TW-NT-TB-FY11"/>
      <sheetName val="TW-NT-TB-FY10"/>
    </sheetNames>
    <sheetDataSet>
      <sheetData sheetId="0"/>
      <sheetData sheetId="1">
        <row r="443">
          <cell r="C443" t="str">
            <v>Cash and cash equivalents</v>
          </cell>
        </row>
        <row r="444">
          <cell r="C444" t="str">
            <v>Accounts receivable</v>
          </cell>
        </row>
        <row r="445">
          <cell r="C445" t="str">
            <v>Provision for doubtful debts</v>
          </cell>
        </row>
        <row r="446">
          <cell r="C446" t="str">
            <v>Prepayments</v>
          </cell>
        </row>
        <row r="447">
          <cell r="C447" t="str">
            <v>Deposits paid</v>
          </cell>
        </row>
        <row r="448">
          <cell r="C448" t="str">
            <v>GST receivable</v>
          </cell>
        </row>
        <row r="449">
          <cell r="C449" t="str">
            <v>Victorian Racing guarantee</v>
          </cell>
        </row>
        <row r="450">
          <cell r="C450" t="str">
            <v>Loans to directors (non-current)</v>
          </cell>
        </row>
        <row r="451">
          <cell r="C451" t="str">
            <v>Loans to related party entities (non-current)</v>
          </cell>
        </row>
        <row r="452">
          <cell r="C452" t="str">
            <v>Computers - at cost</v>
          </cell>
        </row>
        <row r="453">
          <cell r="C453" t="str">
            <v>Computers - accumulated depreciation</v>
          </cell>
        </row>
        <row r="454">
          <cell r="C454" t="str">
            <v>Office furniture &amp; equipment - at cost</v>
          </cell>
        </row>
        <row r="455">
          <cell r="C455" t="str">
            <v>Office furniture &amp; equipment - accumulated depreciation</v>
          </cell>
        </row>
        <row r="456">
          <cell r="C456" t="str">
            <v>Low value pool</v>
          </cell>
        </row>
        <row r="457">
          <cell r="C457" t="str">
            <v>Preliminary expenses - at cost</v>
          </cell>
        </row>
        <row r="458">
          <cell r="C458" t="str">
            <v>Preliminary expenses - accumulated depreciation</v>
          </cell>
        </row>
        <row r="459">
          <cell r="C459" t="str">
            <v>Website design - at cost</v>
          </cell>
        </row>
        <row r="460">
          <cell r="C460" t="str">
            <v>Website design - accumulated depreciation</v>
          </cell>
        </row>
        <row r="461">
          <cell r="C461" t="str">
            <v>Deferred Tax Asset</v>
          </cell>
        </row>
        <row r="462">
          <cell r="C462" t="str">
            <v>Deferred Tax Liability</v>
          </cell>
        </row>
        <row r="463">
          <cell r="C463" t="str">
            <v>Trade payables (current)</v>
          </cell>
        </row>
        <row r="464">
          <cell r="C464" t="str">
            <v>Other payables and accruals (current)</v>
          </cell>
        </row>
        <row r="465">
          <cell r="C465" t="str">
            <v>Cash at track (current)</v>
          </cell>
        </row>
        <row r="466">
          <cell r="C466" t="str">
            <v>Provision for income tax</v>
          </cell>
        </row>
        <row r="467">
          <cell r="C467" t="str">
            <v>Deferred revenue</v>
          </cell>
        </row>
        <row r="468">
          <cell r="C468" t="str">
            <v>Loans from directors (non-current)</v>
          </cell>
        </row>
        <row r="469">
          <cell r="C469" t="str">
            <v>Loans from related party entities (non-current)</v>
          </cell>
        </row>
        <row r="470">
          <cell r="C470" t="str">
            <v>On course trading / settling (non-current)</v>
          </cell>
        </row>
        <row r="471">
          <cell r="C471" t="str">
            <v>Provision for doubtful debts (settling / trading) (non-current)</v>
          </cell>
        </row>
        <row r="472">
          <cell r="C472" t="str">
            <v>Other payables and accruals (non-current)</v>
          </cell>
        </row>
        <row r="473">
          <cell r="C473" t="str">
            <v>Retained earnings</v>
          </cell>
        </row>
        <row r="474">
          <cell r="C474" t="str">
            <v>Reserves</v>
          </cell>
        </row>
        <row r="475">
          <cell r="C475" t="str">
            <v>Issued capital</v>
          </cell>
        </row>
        <row r="476">
          <cell r="C476" t="str">
            <v>Management fees</v>
          </cell>
        </row>
        <row r="477">
          <cell r="C477" t="str">
            <v>Gross wins / losses</v>
          </cell>
        </row>
        <row r="478">
          <cell r="C478" t="str">
            <v>Trust distributions received</v>
          </cell>
        </row>
        <row r="479">
          <cell r="C479" t="str">
            <v>Interest income</v>
          </cell>
        </row>
        <row r="480">
          <cell r="C480" t="str">
            <v>Other income</v>
          </cell>
        </row>
        <row r="481">
          <cell r="C481" t="str">
            <v>Cost of sales</v>
          </cell>
        </row>
        <row r="482">
          <cell r="C482" t="str">
            <v>Depreciation and amortisation expense</v>
          </cell>
        </row>
        <row r="483">
          <cell r="C483" t="str">
            <v>Employee benefits expense</v>
          </cell>
        </row>
        <row r="484">
          <cell r="C484" t="str">
            <v>Other expenses</v>
          </cell>
        </row>
        <row r="485">
          <cell r="C485" t="str">
            <v>Finance costs</v>
          </cell>
        </row>
        <row r="486">
          <cell r="C486" t="str">
            <v>Income tax expense</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Summary"/>
      <sheetName val="Funds Flow"/>
      <sheetName val="P&amp;L Phased"/>
      <sheetName val="P&amp;L"/>
      <sheetName val="Cash Phased"/>
      <sheetName val="Cash"/>
      <sheetName val="Subscriber Growth Drivers"/>
      <sheetName val="Subs Summ"/>
      <sheetName val="CA"/>
      <sheetName val="SS"/>
      <sheetName val="Forex"/>
      <sheetName val="STUs"/>
      <sheetName val="Austar Subs"/>
      <sheetName val="Austar + JVs"/>
      <sheetName val="TOTAL Subs"/>
      <sheetName val="Cable Total"/>
      <sheetName val="CDS"/>
      <sheetName val="CDPVR"/>
      <sheetName val="Satellite Total"/>
      <sheetName val="SPVR"/>
      <sheetName val="Measat"/>
      <sheetName val="New Channels"/>
      <sheetName val="Pricing Input"/>
      <sheetName val="Lic Fees"/>
      <sheetName val="NLF1"/>
      <sheetName val="Contracts"/>
      <sheetName val="Capex"/>
      <sheetName val="Engineering"/>
      <sheetName val="Logistics"/>
      <sheetName val="Magazine"/>
      <sheetName val="Sales"/>
      <sheetName val="Migration"/>
      <sheetName val="Assumption Summary"/>
      <sheetName val="Pricing Summary"/>
      <sheetName val="PPV Summary"/>
      <sheetName val="Margin Analysis"/>
      <sheetName val="Installation &amp; Service"/>
      <sheetName val="Additional Services Margin"/>
      <sheetName val="Subscriber Investment"/>
      <sheetName val="Asteroid Workings"/>
      <sheetName val="Asteroid"/>
      <sheetName val="total subscrib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7.bin"/><Relationship Id="rId1" Type="http://schemas.openxmlformats.org/officeDocument/2006/relationships/hyperlink" Target="file:///./AU.ANZ.EY.NET/EYDATA/SYDNEY/SYDNTAS/_Project%20Finance%20Advisory/Service%20Admin/35.%20Modelling/02%20Training/07%20BPM%20Traverse"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N12" sqref="N12"/>
    </sheetView>
  </sheetViews>
  <sheetFormatPr baseColWidth="10" defaultColWidth="8.83203125" defaultRowHeight="1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102">
    <tabColor rgb="FF00B050"/>
    <pageSetUpPr fitToPage="1"/>
  </sheetPr>
  <dimension ref="A1:H34"/>
  <sheetViews>
    <sheetView showGridLines="0" zoomScale="70" zoomScaleNormal="70" workbookViewId="0">
      <pane ySplit="1" topLeftCell="A2" activePane="bottomLeft" state="frozen"/>
      <selection pane="bottomLeft" activeCell="D30" sqref="D30"/>
    </sheetView>
  </sheetViews>
  <sheetFormatPr baseColWidth="10" defaultColWidth="8.83203125" defaultRowHeight="13"/>
  <cols>
    <col min="1" max="1" width="2.83203125" customWidth="1"/>
    <col min="3" max="3" width="11.5" customWidth="1"/>
    <col min="4" max="4" width="13.5" customWidth="1"/>
    <col min="5" max="6" width="11.83203125" customWidth="1"/>
    <col min="7" max="7" width="10.5" customWidth="1"/>
  </cols>
  <sheetData>
    <row r="1" spans="1:8" ht="19" thickBot="1">
      <c r="A1" s="1" t="s">
        <v>7</v>
      </c>
      <c r="B1" s="1"/>
      <c r="C1" s="1"/>
      <c r="D1" s="1"/>
      <c r="E1" s="1"/>
      <c r="F1" s="1"/>
      <c r="G1" s="1"/>
      <c r="H1" s="1"/>
    </row>
    <row r="2" spans="1:8" ht="14" thickTop="1"/>
    <row r="3" spans="1:8">
      <c r="B3" t="s">
        <v>8</v>
      </c>
    </row>
    <row r="4" spans="1:8">
      <c r="B4" t="s">
        <v>9</v>
      </c>
    </row>
    <row r="5" spans="1:8">
      <c r="B5" t="s">
        <v>10</v>
      </c>
    </row>
    <row r="7" spans="1:8">
      <c r="B7" t="s">
        <v>11</v>
      </c>
    </row>
    <row r="8" spans="1:8" ht="16">
      <c r="B8" t="s">
        <v>12</v>
      </c>
    </row>
    <row r="10" spans="1:8" ht="14" thickBot="1">
      <c r="B10" s="8" t="s">
        <v>13</v>
      </c>
      <c r="C10" s="8"/>
      <c r="D10" s="8"/>
      <c r="E10" s="8"/>
      <c r="F10" s="8"/>
      <c r="G10" s="8"/>
      <c r="H10" s="8"/>
    </row>
    <row r="12" spans="1:8">
      <c r="C12" s="9">
        <v>10</v>
      </c>
    </row>
    <row r="13" spans="1:8">
      <c r="C13" s="9">
        <v>20</v>
      </c>
    </row>
    <row r="14" spans="1:8">
      <c r="C14" s="9">
        <v>2</v>
      </c>
    </row>
    <row r="15" spans="1:8">
      <c r="C15" s="10">
        <f>C12+C13*C14</f>
        <v>50</v>
      </c>
      <c r="D15" s="7" t="str">
        <f ca="1">_xlfn.FORMULATEXT(C15)</f>
        <v>=C12+C13*C14</v>
      </c>
    </row>
    <row r="17" spans="2:8">
      <c r="C17" t="str">
        <f>"You may expect that "&amp;C12&amp;" + "&amp;C13&amp;" would equal "&amp;C12+C13</f>
        <v>You may expect that 10 + 20 would equal 30</v>
      </c>
    </row>
    <row r="18" spans="2:8">
      <c r="C18" t="str">
        <f>"And then "&amp;C12+C13&amp;" * "&amp;C14&amp;" would equal "&amp;(C12+C13)*C14</f>
        <v>And then 30 * 2 would equal 60</v>
      </c>
    </row>
    <row r="20" spans="2:8">
      <c r="C20" t="s">
        <v>14</v>
      </c>
    </row>
    <row r="21" spans="2:8">
      <c r="C21" t="str">
        <f>"calculation as "&amp;C13&amp;" * "&amp;C14&amp;" resulting in "&amp;C13*C14</f>
        <v>calculation as 20 * 2 resulting in 40</v>
      </c>
    </row>
    <row r="22" spans="2:8">
      <c r="C22" t="str">
        <f>"And then "&amp;C12&amp;" + "&amp;C13*C14&amp;" resulting in "&amp;C13*C14+C12</f>
        <v>And then 10 + 40 resulting in 50</v>
      </c>
    </row>
    <row r="25" spans="2:8" ht="14" thickBot="1">
      <c r="B25" s="8" t="s">
        <v>15</v>
      </c>
      <c r="C25" s="8"/>
      <c r="D25" s="8"/>
      <c r="E25" s="8"/>
      <c r="F25" s="8"/>
      <c r="G25" s="8"/>
      <c r="H25" s="8"/>
    </row>
    <row r="27" spans="2:8">
      <c r="C27" s="9">
        <v>10</v>
      </c>
    </row>
    <row r="28" spans="2:8">
      <c r="C28" s="9">
        <v>20</v>
      </c>
    </row>
    <row r="29" spans="2:8">
      <c r="C29" s="9">
        <v>2</v>
      </c>
    </row>
    <row r="30" spans="2:8">
      <c r="C30" s="10">
        <f>(C27+C28)*C29</f>
        <v>60</v>
      </c>
      <c r="D30" s="7" t="str">
        <f ca="1">_xlfn.FORMULATEXT(C30)</f>
        <v>=(C27+C28)*C29</v>
      </c>
    </row>
    <row r="32" spans="2:8">
      <c r="C32" t="str">
        <f>"By placing brackets around ("&amp;C27&amp;"+"&amp;C28&amp;") Excel performs this"</f>
        <v>By placing brackets around (10+20) Excel performs this</v>
      </c>
    </row>
    <row r="33" spans="3:3">
      <c r="C33" t="str">
        <f>"part of the calulation first, resulting in "&amp;C27+C28</f>
        <v>part of the calulation first, resulting in 30</v>
      </c>
    </row>
    <row r="34" spans="3:3">
      <c r="C34" t="str">
        <f>"Then the "&amp;C27+C28&amp;" is multipled by "&amp;C29&amp;" resulting in "&amp;(C27+C28)*C29</f>
        <v>Then the 30 is multipled by 2 resulting in 60</v>
      </c>
    </row>
  </sheetData>
  <printOptions headings="1" gridLines="1"/>
  <pageMargins left="0.74803149606299213" right="0.74803149606299213" top="0.98425196850393704" bottom="0.98425196850393704" header="0.51181102362204722" footer="0.51181102362204722"/>
  <pageSetup paperSize="9" fitToHeight="5" orientation="portrait" r:id="rId1"/>
  <headerFooter alignWithMargins="0">
    <oddHeader>&amp;LExcel Function Dictionary
© 1998 - 2000 Peter Noneley&amp;R&amp;A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0">
    <tabColor rgb="FF00B050"/>
    <pageSetUpPr fitToPage="1"/>
  </sheetPr>
  <dimension ref="A1:H16"/>
  <sheetViews>
    <sheetView showGridLines="0" zoomScale="85" zoomScaleNormal="85" workbookViewId="0">
      <pane ySplit="1" topLeftCell="A2" activePane="bottomLeft" state="frozen"/>
      <selection activeCell="K21" sqref="K21"/>
      <selection pane="bottomLeft" activeCell="H46" sqref="H46"/>
    </sheetView>
  </sheetViews>
  <sheetFormatPr baseColWidth="10" defaultColWidth="8.83203125" defaultRowHeight="13"/>
  <cols>
    <col min="1" max="1" width="2.83203125" customWidth="1"/>
    <col min="3" max="3" width="11.5" customWidth="1"/>
    <col min="4" max="4" width="13.5" customWidth="1"/>
    <col min="5" max="6" width="11.83203125" customWidth="1"/>
    <col min="7" max="7" width="10.5" customWidth="1"/>
  </cols>
  <sheetData>
    <row r="1" spans="1:8" ht="19" thickBot="1">
      <c r="A1" s="1" t="s">
        <v>16</v>
      </c>
      <c r="B1" s="1"/>
      <c r="C1" s="1"/>
      <c r="D1" s="1"/>
      <c r="E1" s="1"/>
      <c r="F1" s="1"/>
      <c r="G1" s="1"/>
      <c r="H1" s="1"/>
    </row>
    <row r="2" spans="1:8" ht="14" thickTop="1"/>
    <row r="3" spans="1:8">
      <c r="B3" t="s">
        <v>17</v>
      </c>
    </row>
    <row r="4" spans="1:8">
      <c r="B4" t="s">
        <v>18</v>
      </c>
    </row>
    <row r="6" spans="1:8">
      <c r="B6" t="s">
        <v>19</v>
      </c>
    </row>
    <row r="7" spans="1:8">
      <c r="B7" t="s">
        <v>20</v>
      </c>
    </row>
    <row r="8" spans="1:8">
      <c r="B8" t="s">
        <v>21</v>
      </c>
    </row>
    <row r="9" spans="1:8">
      <c r="B9" t="s">
        <v>22</v>
      </c>
    </row>
    <row r="11" spans="1:8">
      <c r="C11" s="4"/>
      <c r="D11" s="5" t="s">
        <v>0</v>
      </c>
      <c r="E11" s="5" t="s">
        <v>1</v>
      </c>
      <c r="F11" s="5" t="s">
        <v>2</v>
      </c>
      <c r="G11" s="5" t="s">
        <v>23</v>
      </c>
    </row>
    <row r="12" spans="1:8">
      <c r="C12" s="13" t="s">
        <v>3</v>
      </c>
      <c r="D12" s="2">
        <v>10</v>
      </c>
      <c r="E12" s="2">
        <v>50</v>
      </c>
      <c r="F12" s="2">
        <v>90</v>
      </c>
      <c r="G12" s="3"/>
    </row>
    <row r="13" spans="1:8">
      <c r="C13" s="13" t="s">
        <v>4</v>
      </c>
      <c r="D13" s="2">
        <v>20</v>
      </c>
      <c r="E13" s="2">
        <v>60</v>
      </c>
      <c r="F13" s="2">
        <v>100</v>
      </c>
      <c r="G13" s="3"/>
    </row>
    <row r="14" spans="1:8">
      <c r="C14" s="13" t="s">
        <v>5</v>
      </c>
      <c r="D14" s="2">
        <v>30</v>
      </c>
      <c r="E14" s="2">
        <v>70</v>
      </c>
      <c r="F14" s="2">
        <v>200</v>
      </c>
      <c r="G14" s="3"/>
    </row>
    <row r="15" spans="1:8">
      <c r="C15" s="13" t="s">
        <v>6</v>
      </c>
      <c r="D15" s="2">
        <v>40</v>
      </c>
      <c r="E15" s="2">
        <v>80</v>
      </c>
      <c r="F15" s="2">
        <v>300</v>
      </c>
      <c r="G15" s="3"/>
    </row>
    <row r="16" spans="1:8">
      <c r="C16" s="13" t="s">
        <v>23</v>
      </c>
      <c r="D16" s="3"/>
      <c r="E16" s="3"/>
      <c r="F16" s="3"/>
      <c r="G16" s="3"/>
    </row>
  </sheetData>
  <printOptions headings="1" gridLines="1"/>
  <pageMargins left="0.74803149606299213" right="0.74803149606299213" top="0.98425196850393704" bottom="0.98425196850393704" header="0.51181102362204722" footer="0.51181102362204722"/>
  <pageSetup paperSize="9" fitToHeight="5" orientation="portrait" r:id="rId1"/>
  <headerFooter alignWithMargins="0">
    <oddHeader>&amp;LExcel Function Dictionary
© 1998 - 2000 Peter Noneley&amp;R&amp;A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6">
    <tabColor rgb="FF00B050"/>
    <pageSetUpPr fitToPage="1"/>
  </sheetPr>
  <dimension ref="A1:J49"/>
  <sheetViews>
    <sheetView showGridLines="0" workbookViewId="0">
      <pane ySplit="1" topLeftCell="A28" activePane="bottomLeft" state="frozen"/>
      <selection activeCell="K21" sqref="K21"/>
      <selection pane="bottomLeft" activeCell="Q28" sqref="Q27:Q28"/>
    </sheetView>
  </sheetViews>
  <sheetFormatPr baseColWidth="10" defaultColWidth="8.83203125" defaultRowHeight="13"/>
  <cols>
    <col min="1" max="1" width="2.83203125" customWidth="1"/>
    <col min="3" max="3" width="10.83203125" customWidth="1"/>
    <col min="10" max="10" width="6.83203125" customWidth="1"/>
  </cols>
  <sheetData>
    <row r="1" spans="1:10" ht="19" thickBot="1">
      <c r="A1" s="1" t="s">
        <v>263</v>
      </c>
      <c r="B1" s="1"/>
      <c r="C1" s="1"/>
      <c r="D1" s="1"/>
      <c r="E1" s="1"/>
      <c r="F1" s="1"/>
      <c r="G1" s="1"/>
      <c r="H1" s="1"/>
      <c r="I1" s="1"/>
      <c r="J1" s="1"/>
    </row>
    <row r="2" spans="1:10" ht="14" thickTop="1"/>
    <row r="3" spans="1:10">
      <c r="C3" s="27" t="s">
        <v>264</v>
      </c>
    </row>
    <row r="4" spans="1:10">
      <c r="C4" s="2">
        <v>100</v>
      </c>
      <c r="D4" s="2">
        <v>200</v>
      </c>
      <c r="E4" s="2">
        <v>300</v>
      </c>
      <c r="F4" s="3">
        <f>SUM(C4:E4)</f>
        <v>600</v>
      </c>
      <c r="G4" s="7" t="str">
        <f ca="1">_xlfn.FORMULATEXT(F4)</f>
        <v>=SUM(C4:E4)</v>
      </c>
    </row>
    <row r="6" spans="1:10">
      <c r="C6" s="21" t="s">
        <v>265</v>
      </c>
    </row>
    <row r="7" spans="1:10">
      <c r="C7" s="2">
        <v>100</v>
      </c>
    </row>
    <row r="8" spans="1:10">
      <c r="C8" s="2">
        <v>200</v>
      </c>
    </row>
    <row r="9" spans="1:10">
      <c r="C9" s="2">
        <v>300</v>
      </c>
    </row>
    <row r="10" spans="1:10">
      <c r="C10" s="3">
        <f>SUM(C7:C9)</f>
        <v>600</v>
      </c>
      <c r="D10" s="7" t="s">
        <v>266</v>
      </c>
    </row>
    <row r="12" spans="1:10">
      <c r="C12" s="54" t="s">
        <v>267</v>
      </c>
      <c r="D12" s="54"/>
      <c r="E12" s="54"/>
    </row>
    <row r="13" spans="1:10">
      <c r="C13" s="2">
        <v>100</v>
      </c>
      <c r="E13" s="2">
        <v>300</v>
      </c>
      <c r="F13" s="3">
        <f>SUM(C13,D14,E13)</f>
        <v>600</v>
      </c>
      <c r="G13" s="7" t="str">
        <f ca="1">_xlfn.FORMULATEXT(F13)</f>
        <v>=SUM(C13,D14,E13)</v>
      </c>
    </row>
    <row r="14" spans="1:10">
      <c r="D14" s="2">
        <v>200</v>
      </c>
    </row>
    <row r="16" spans="1:10">
      <c r="C16" s="54" t="s">
        <v>268</v>
      </c>
      <c r="D16" s="54"/>
      <c r="E16" s="54"/>
    </row>
    <row r="17" spans="2:10">
      <c r="C17" s="2">
        <v>100</v>
      </c>
      <c r="E17" s="2">
        <v>400</v>
      </c>
    </row>
    <row r="18" spans="2:10">
      <c r="C18" s="2">
        <v>200</v>
      </c>
      <c r="E18" s="2">
        <v>500</v>
      </c>
    </row>
    <row r="19" spans="2:10">
      <c r="C19" s="2">
        <v>3000</v>
      </c>
      <c r="E19" s="2">
        <v>600</v>
      </c>
    </row>
    <row r="20" spans="2:10">
      <c r="E20" s="3">
        <f>SUM(C17:C19,E17:E19)</f>
        <v>4800</v>
      </c>
      <c r="F20" s="7" t="str">
        <f ca="1">_xlfn.FORMULATEXT(E20)</f>
        <v>=SUM(C17:C19,E17:E19)</v>
      </c>
    </row>
    <row r="22" spans="2:10">
      <c r="C22" s="54" t="s">
        <v>269</v>
      </c>
      <c r="D22" s="54"/>
      <c r="E22" s="54"/>
    </row>
    <row r="23" spans="2:10">
      <c r="C23" s="2">
        <v>100</v>
      </c>
      <c r="E23" s="2">
        <v>400</v>
      </c>
    </row>
    <row r="24" spans="2:10">
      <c r="C24" s="2">
        <v>200</v>
      </c>
      <c r="E24" s="2">
        <v>500</v>
      </c>
    </row>
    <row r="25" spans="2:10">
      <c r="C25" s="2">
        <v>300</v>
      </c>
      <c r="E25" s="2">
        <v>600</v>
      </c>
    </row>
    <row r="26" spans="2:10">
      <c r="E26" s="3">
        <f>SUM(AVERAGE(C23:C25),MAX(E23:E25))</f>
        <v>800</v>
      </c>
      <c r="F26" s="7" t="str">
        <f ca="1">_xlfn.FORMULATEXT(E26)</f>
        <v>=SUM(AVERAGE(C23:C25),MAX(E23:E25))</v>
      </c>
    </row>
    <row r="28" spans="2:10" ht="14" thickBot="1">
      <c r="B28" s="14" t="s">
        <v>29</v>
      </c>
      <c r="C28" s="14"/>
      <c r="D28" s="14"/>
      <c r="E28" s="14"/>
      <c r="F28" s="14"/>
      <c r="G28" s="14"/>
      <c r="H28" s="14"/>
      <c r="I28" s="14"/>
      <c r="J28" s="14"/>
    </row>
    <row r="29" spans="2:10">
      <c r="B29" t="s">
        <v>270</v>
      </c>
    </row>
    <row r="30" spans="2:10">
      <c r="B30" t="s">
        <v>271</v>
      </c>
    </row>
    <row r="31" spans="2:10">
      <c r="B31" t="s">
        <v>272</v>
      </c>
    </row>
    <row r="33" spans="2:10" ht="14" thickBot="1">
      <c r="B33" s="14" t="s">
        <v>24</v>
      </c>
      <c r="C33" s="14"/>
      <c r="D33" s="14"/>
      <c r="E33" s="14"/>
      <c r="F33" s="14"/>
      <c r="G33" s="14"/>
      <c r="H33" s="14"/>
      <c r="I33" s="14"/>
      <c r="J33" s="14"/>
    </row>
    <row r="34" spans="2:10">
      <c r="B34" s="18" t="s">
        <v>542</v>
      </c>
    </row>
    <row r="36" spans="2:10" ht="14" thickBot="1">
      <c r="B36" s="14" t="s">
        <v>39</v>
      </c>
      <c r="C36" s="14"/>
      <c r="D36" s="14"/>
      <c r="E36" s="14"/>
      <c r="F36" s="14"/>
      <c r="G36" s="14"/>
      <c r="H36" s="14"/>
      <c r="I36" s="14"/>
      <c r="J36" s="14"/>
    </row>
    <row r="37" spans="2:10">
      <c r="B37" t="s">
        <v>541</v>
      </c>
    </row>
    <row r="39" spans="2:10">
      <c r="B39" t="s">
        <v>273</v>
      </c>
    </row>
    <row r="40" spans="2:10">
      <c r="B40" t="s">
        <v>274</v>
      </c>
    </row>
    <row r="41" spans="2:10">
      <c r="B41" t="s">
        <v>275</v>
      </c>
    </row>
    <row r="43" spans="2:10">
      <c r="C43" s="2">
        <v>100</v>
      </c>
    </row>
    <row r="44" spans="2:10">
      <c r="C44" s="2">
        <v>200</v>
      </c>
    </row>
    <row r="45" spans="2:10">
      <c r="C45" s="2">
        <v>300</v>
      </c>
    </row>
    <row r="47" spans="2:10">
      <c r="C47" s="3">
        <f>SUM(C43+C44+C45)</f>
        <v>600</v>
      </c>
      <c r="D47" s="7" t="str">
        <f ca="1">_xlfn.FORMULATEXT(C47)</f>
        <v>=SUM(C43+C44+C45)</v>
      </c>
      <c r="G47" s="55" t="s">
        <v>474</v>
      </c>
    </row>
    <row r="48" spans="2:10">
      <c r="C48" s="3">
        <f>SUM(C43:C45)</f>
        <v>600</v>
      </c>
      <c r="D48" s="7" t="str">
        <f t="shared" ref="D48:D49" ca="1" si="0">_xlfn.FORMULATEXT(C48)</f>
        <v>=SUM(C43:C45)</v>
      </c>
      <c r="G48" t="s">
        <v>276</v>
      </c>
    </row>
    <row r="49" spans="3:7">
      <c r="C49" s="3">
        <f>C43+C44+C45</f>
        <v>600</v>
      </c>
      <c r="D49" s="7" t="str">
        <f t="shared" ca="1" si="0"/>
        <v>=C43+C44+C45</v>
      </c>
      <c r="G49" t="s">
        <v>1215</v>
      </c>
    </row>
  </sheetData>
  <printOptions headings="1" gridLines="1"/>
  <pageMargins left="0.74803149606299213" right="0.74803149606299213" top="0.98425196850393704" bottom="0.98425196850393704" header="0.51181102362204722" footer="0.51181102362204722"/>
  <pageSetup paperSize="9" fitToHeight="5" orientation="portrait" r:id="rId1"/>
  <headerFooter alignWithMargins="0">
    <oddHeader>&amp;LExcel Function Dictionary
© 1998 - 2000 Peter Noneley&amp;R&amp;A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7">
    <tabColor rgb="FF00B050"/>
    <pageSetUpPr fitToPage="1"/>
  </sheetPr>
  <dimension ref="A1:M40"/>
  <sheetViews>
    <sheetView showGridLines="0" workbookViewId="0">
      <pane ySplit="1" topLeftCell="A2" activePane="bottomLeft" state="frozen"/>
      <selection activeCell="D49" sqref="D49"/>
      <selection pane="bottomLeft" activeCell="C4" sqref="C4"/>
    </sheetView>
  </sheetViews>
  <sheetFormatPr baseColWidth="10" defaultColWidth="8.83203125" defaultRowHeight="13"/>
  <cols>
    <col min="1" max="1" width="2.83203125" customWidth="1"/>
    <col min="10" max="10" width="8.83203125" customWidth="1"/>
  </cols>
  <sheetData>
    <row r="1" spans="1:10" ht="19" thickBot="1">
      <c r="A1" s="1" t="s">
        <v>277</v>
      </c>
      <c r="B1" s="1"/>
      <c r="C1" s="1"/>
      <c r="D1" s="1"/>
      <c r="E1" s="1"/>
      <c r="F1" s="1"/>
      <c r="G1" s="1"/>
      <c r="H1" s="1"/>
      <c r="I1" s="1"/>
      <c r="J1" s="1"/>
    </row>
    <row r="2" spans="1:10" ht="14" thickTop="1"/>
    <row r="4" spans="1:10" ht="14" thickBot="1">
      <c r="C4" s="14" t="s">
        <v>278</v>
      </c>
      <c r="D4" s="14"/>
      <c r="E4" s="14"/>
      <c r="F4" s="14"/>
      <c r="G4" s="14"/>
      <c r="H4" s="14"/>
      <c r="I4" s="14"/>
      <c r="J4" s="14"/>
    </row>
    <row r="6" spans="1:10" ht="28">
      <c r="C6" s="5" t="s">
        <v>64</v>
      </c>
      <c r="D6" s="5" t="s">
        <v>65</v>
      </c>
      <c r="E6" s="15" t="s">
        <v>279</v>
      </c>
    </row>
    <row r="7" spans="1:10">
      <c r="C7" s="6" t="s">
        <v>0</v>
      </c>
      <c r="D7" s="2">
        <v>10</v>
      </c>
      <c r="E7" s="3">
        <f>SUM($D$7:$D7)</f>
        <v>10</v>
      </c>
      <c r="F7" s="7" t="s">
        <v>448</v>
      </c>
    </row>
    <row r="8" spans="1:10">
      <c r="C8" s="6" t="s">
        <v>1</v>
      </c>
      <c r="D8" s="2">
        <v>50</v>
      </c>
      <c r="E8" s="3">
        <f>SUM($D$7:$D8)</f>
        <v>60</v>
      </c>
      <c r="F8" s="7" t="s">
        <v>449</v>
      </c>
    </row>
    <row r="9" spans="1:10">
      <c r="C9" s="6" t="s">
        <v>2</v>
      </c>
      <c r="D9" s="2">
        <v>30</v>
      </c>
      <c r="E9" s="3">
        <f>SUM($D$7:$D9)</f>
        <v>90</v>
      </c>
      <c r="F9" s="7" t="s">
        <v>450</v>
      </c>
    </row>
    <row r="10" spans="1:10">
      <c r="C10" s="6" t="s">
        <v>66</v>
      </c>
      <c r="D10" s="2">
        <v>20</v>
      </c>
      <c r="E10" s="3">
        <f>SUM($D$7:$D10)</f>
        <v>110</v>
      </c>
      <c r="F10" s="7" t="s">
        <v>451</v>
      </c>
    </row>
    <row r="11" spans="1:10">
      <c r="C11" s="6" t="s">
        <v>67</v>
      </c>
      <c r="D11" s="2"/>
      <c r="E11" s="3">
        <f>SUM($D$7:$D11)</f>
        <v>110</v>
      </c>
      <c r="F11" s="7" t="s">
        <v>452</v>
      </c>
    </row>
    <row r="12" spans="1:10">
      <c r="C12" s="6" t="s">
        <v>68</v>
      </c>
      <c r="D12" s="2"/>
      <c r="E12" s="3">
        <f>SUM($D$7:$D12)</f>
        <v>110</v>
      </c>
      <c r="F12" s="7" t="s">
        <v>453</v>
      </c>
    </row>
    <row r="13" spans="1:10">
      <c r="C13" s="6" t="s">
        <v>280</v>
      </c>
      <c r="D13" s="2"/>
      <c r="E13" s="3">
        <f>SUM($D$7:$D13)</f>
        <v>110</v>
      </c>
      <c r="F13" s="7" t="s">
        <v>454</v>
      </c>
    </row>
    <row r="14" spans="1:10">
      <c r="C14" s="6" t="s">
        <v>281</v>
      </c>
      <c r="D14" s="2"/>
      <c r="E14" s="3">
        <f>SUM($D$7:$D14)</f>
        <v>110</v>
      </c>
      <c r="F14" s="7" t="s">
        <v>455</v>
      </c>
    </row>
    <row r="15" spans="1:10">
      <c r="C15" s="6" t="s">
        <v>282</v>
      </c>
      <c r="D15" s="2"/>
      <c r="E15" s="3">
        <f>SUM($D$7:$D15)</f>
        <v>110</v>
      </c>
      <c r="F15" s="7" t="s">
        <v>456</v>
      </c>
    </row>
    <row r="16" spans="1:10">
      <c r="C16" s="6" t="s">
        <v>283</v>
      </c>
      <c r="D16" s="2"/>
      <c r="E16" s="3">
        <f>SUM($D$7:$D16)</f>
        <v>110</v>
      </c>
      <c r="F16" s="7" t="s">
        <v>457</v>
      </c>
    </row>
    <row r="17" spans="3:13">
      <c r="C17" s="6" t="s">
        <v>284</v>
      </c>
      <c r="D17" s="2"/>
      <c r="E17" s="3">
        <f>SUM($D$7:$D17)</f>
        <v>110</v>
      </c>
      <c r="F17" s="7" t="s">
        <v>458</v>
      </c>
    </row>
    <row r="18" spans="3:13">
      <c r="C18" s="6" t="s">
        <v>285</v>
      </c>
      <c r="D18" s="2"/>
      <c r="E18" s="3">
        <f>SUM($D$7:$D18)</f>
        <v>110</v>
      </c>
      <c r="F18" s="7" t="s">
        <v>459</v>
      </c>
    </row>
    <row r="20" spans="3:13">
      <c r="C20" t="s">
        <v>286</v>
      </c>
    </row>
    <row r="21" spans="3:13">
      <c r="C21" t="s">
        <v>287</v>
      </c>
    </row>
    <row r="22" spans="3:13">
      <c r="C22" t="s">
        <v>288</v>
      </c>
    </row>
    <row r="23" spans="3:13">
      <c r="C23" t="s">
        <v>289</v>
      </c>
    </row>
    <row r="25" spans="3:13">
      <c r="C25" t="s">
        <v>290</v>
      </c>
    </row>
    <row r="26" spans="3:13">
      <c r="C26" t="s">
        <v>467</v>
      </c>
      <c r="J26" t="s">
        <v>466</v>
      </c>
    </row>
    <row r="28" spans="3:13" ht="28">
      <c r="C28" s="5" t="s">
        <v>64</v>
      </c>
      <c r="D28" s="5" t="s">
        <v>65</v>
      </c>
      <c r="E28" s="15" t="s">
        <v>279</v>
      </c>
      <c r="J28" s="5" t="s">
        <v>64</v>
      </c>
      <c r="K28" s="5" t="s">
        <v>65</v>
      </c>
      <c r="L28" s="15" t="s">
        <v>279</v>
      </c>
    </row>
    <row r="29" spans="3:13">
      <c r="C29" s="6" t="s">
        <v>0</v>
      </c>
      <c r="D29" s="2">
        <v>10</v>
      </c>
      <c r="E29" s="3">
        <f>SUM(IF(D7,$D$7:$D7,0))</f>
        <v>10</v>
      </c>
      <c r="F29" s="7" t="s">
        <v>460</v>
      </c>
      <c r="J29" s="6" t="s">
        <v>0</v>
      </c>
      <c r="K29" s="2">
        <v>10</v>
      </c>
      <c r="L29" s="3">
        <f>SUM($D$7:$D7)*(D7&gt;0)</f>
        <v>10</v>
      </c>
      <c r="M29" s="7" t="s">
        <v>468</v>
      </c>
    </row>
    <row r="30" spans="3:13">
      <c r="C30" s="6" t="s">
        <v>1</v>
      </c>
      <c r="D30" s="2">
        <v>50</v>
      </c>
      <c r="E30" s="3">
        <f>SUM(IF(D8,$D$7:$D8,0))</f>
        <v>60</v>
      </c>
      <c r="F30" s="7" t="s">
        <v>461</v>
      </c>
      <c r="J30" s="6" t="s">
        <v>1</v>
      </c>
      <c r="K30" s="2">
        <v>50</v>
      </c>
      <c r="L30" s="3">
        <f>SUM($D$7:$D8)*(D8&gt;0)</f>
        <v>60</v>
      </c>
      <c r="M30" s="60" t="s">
        <v>469</v>
      </c>
    </row>
    <row r="31" spans="3:13">
      <c r="C31" s="6" t="s">
        <v>2</v>
      </c>
      <c r="D31" s="2">
        <v>30</v>
      </c>
      <c r="E31" s="3">
        <f>SUM(IF(D9,$D$7:$D9,0))</f>
        <v>90</v>
      </c>
      <c r="F31" s="7" t="s">
        <v>462</v>
      </c>
      <c r="J31" s="6" t="s">
        <v>2</v>
      </c>
      <c r="K31" s="2">
        <v>30</v>
      </c>
      <c r="L31" s="3">
        <f>SUM($D$7:$D9)*(D9&gt;0)</f>
        <v>90</v>
      </c>
      <c r="M31" s="60" t="s">
        <v>470</v>
      </c>
    </row>
    <row r="32" spans="3:13">
      <c r="C32" s="6" t="s">
        <v>66</v>
      </c>
      <c r="D32" s="2">
        <v>20</v>
      </c>
      <c r="E32" s="3">
        <f>SUM(IF(D10,$D$7:$D10,0))</f>
        <v>110</v>
      </c>
      <c r="F32" s="7" t="s">
        <v>463</v>
      </c>
      <c r="J32" s="6" t="s">
        <v>66</v>
      </c>
      <c r="K32" s="2">
        <v>20</v>
      </c>
      <c r="L32" s="3">
        <f>SUM($D$7:$D10)*(D10&gt;0)</f>
        <v>110</v>
      </c>
      <c r="M32" s="60" t="s">
        <v>471</v>
      </c>
    </row>
    <row r="33" spans="3:13">
      <c r="C33" s="6" t="s">
        <v>67</v>
      </c>
      <c r="D33" s="2"/>
      <c r="E33" s="3">
        <f>SUM(IF(D11,$D$7:$D11,0))</f>
        <v>0</v>
      </c>
      <c r="F33" s="7" t="s">
        <v>464</v>
      </c>
      <c r="J33" s="6" t="s">
        <v>67</v>
      </c>
      <c r="K33" s="2"/>
      <c r="L33" s="3">
        <f>SUM($D$7:$D11)*(D11&gt;0)</f>
        <v>0</v>
      </c>
      <c r="M33" s="60" t="s">
        <v>472</v>
      </c>
    </row>
    <row r="34" spans="3:13">
      <c r="C34" s="6" t="s">
        <v>68</v>
      </c>
      <c r="D34" s="2"/>
      <c r="E34" s="3">
        <f>SUM(IF(D12,$D$7:$D12,0))</f>
        <v>0</v>
      </c>
      <c r="F34" s="7" t="s">
        <v>465</v>
      </c>
      <c r="J34" s="6" t="s">
        <v>68</v>
      </c>
      <c r="K34" s="2"/>
      <c r="L34" s="3">
        <f>SUM($D$7:$D12)*(D12&gt;0)</f>
        <v>0</v>
      </c>
      <c r="M34" s="60" t="s">
        <v>473</v>
      </c>
    </row>
    <row r="35" spans="3:13">
      <c r="C35" s="6" t="s">
        <v>280</v>
      </c>
      <c r="D35" s="2"/>
      <c r="E35" s="3">
        <f>SUM(IF(D13,$D$7:$D13,0))</f>
        <v>0</v>
      </c>
      <c r="F35" t="s">
        <v>291</v>
      </c>
      <c r="J35" s="6" t="s">
        <v>280</v>
      </c>
      <c r="K35" s="2"/>
      <c r="L35" s="3">
        <f>SUM($D$7:$D13)*(D13&gt;0)</f>
        <v>0</v>
      </c>
    </row>
    <row r="36" spans="3:13">
      <c r="C36" s="6" t="s">
        <v>281</v>
      </c>
      <c r="D36" s="2"/>
      <c r="E36" s="3">
        <f>SUM(IF(D14,$D$7:$D14,0))</f>
        <v>0</v>
      </c>
      <c r="F36" t="s">
        <v>292</v>
      </c>
      <c r="J36" s="6" t="s">
        <v>281</v>
      </c>
      <c r="K36" s="2"/>
      <c r="L36" s="3">
        <f>SUM($D$7:$D14)*(D14&gt;0)</f>
        <v>0</v>
      </c>
    </row>
    <row r="37" spans="3:13">
      <c r="C37" s="6" t="s">
        <v>282</v>
      </c>
      <c r="D37" s="2"/>
      <c r="E37" s="3">
        <f>SUM(IF(D15,$D$7:$D15,0))</f>
        <v>0</v>
      </c>
      <c r="F37" t="s">
        <v>293</v>
      </c>
      <c r="J37" s="6" t="s">
        <v>282</v>
      </c>
      <c r="K37" s="2"/>
      <c r="L37" s="3">
        <f>SUM($D$7:$D15)*(D15&gt;0)</f>
        <v>0</v>
      </c>
    </row>
    <row r="38" spans="3:13">
      <c r="C38" s="6" t="s">
        <v>283</v>
      </c>
      <c r="D38" s="2"/>
      <c r="E38" s="3">
        <f>SUM(IF(D16,$D$7:$D16,0))</f>
        <v>0</v>
      </c>
      <c r="J38" s="6" t="s">
        <v>283</v>
      </c>
      <c r="K38" s="2"/>
      <c r="L38" s="3">
        <f>SUM($D$7:$D16)*(D16&gt;0)</f>
        <v>0</v>
      </c>
    </row>
    <row r="39" spans="3:13">
      <c r="C39" s="6" t="s">
        <v>284</v>
      </c>
      <c r="D39" s="2"/>
      <c r="E39" s="3">
        <f>SUM(IF(D17,$D$7:$D17,0))</f>
        <v>0</v>
      </c>
      <c r="J39" s="6" t="s">
        <v>284</v>
      </c>
      <c r="K39" s="2"/>
      <c r="L39" s="3">
        <f>SUM($D$7:$D17)*(D17&gt;0)</f>
        <v>0</v>
      </c>
    </row>
    <row r="40" spans="3:13">
      <c r="C40" s="6" t="s">
        <v>285</v>
      </c>
      <c r="D40" s="2"/>
      <c r="E40" s="3">
        <f>SUM(IF(D18,$D$7:$D18,0))</f>
        <v>0</v>
      </c>
      <c r="J40" s="6" t="s">
        <v>285</v>
      </c>
      <c r="K40" s="2"/>
      <c r="L40" s="3">
        <f>SUM($D$7:$D18)*(D18&gt;0)</f>
        <v>0</v>
      </c>
    </row>
  </sheetData>
  <printOptions headings="1" gridLines="1"/>
  <pageMargins left="0.74803149606299213" right="0.74803149606299213" top="0.98425196850393704" bottom="0.98425196850393704" header="0.51181102362204722" footer="0.51181102362204722"/>
  <pageSetup paperSize="9" scale="68" fitToHeight="5" orientation="portrait" r:id="rId1"/>
  <headerFooter alignWithMargins="0">
    <oddHeader>&amp;LExcel Function Dictionary
© 1998 - 2000 Peter Noneley&amp;R&amp;A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8">
    <tabColor rgb="FF00B050"/>
    <pageSetUpPr fitToPage="1"/>
  </sheetPr>
  <dimension ref="A1:S28"/>
  <sheetViews>
    <sheetView showGridLines="0" workbookViewId="0">
      <pane ySplit="1" topLeftCell="A2" activePane="bottomLeft" state="frozen"/>
      <selection activeCell="K21" sqref="K21"/>
      <selection pane="bottomLeft" activeCell="G34" sqref="G34"/>
    </sheetView>
  </sheetViews>
  <sheetFormatPr baseColWidth="10" defaultColWidth="8.83203125" defaultRowHeight="13"/>
  <cols>
    <col min="1" max="1" width="2.83203125" customWidth="1"/>
    <col min="2" max="2" width="10.1640625" customWidth="1"/>
    <col min="3" max="6" width="9.1640625" customWidth="1"/>
    <col min="7" max="7" width="10.83203125" customWidth="1"/>
    <col min="8" max="8" width="10.5" customWidth="1"/>
    <col min="9" max="9" width="12.83203125" customWidth="1"/>
    <col min="10" max="10" width="6.5" customWidth="1"/>
    <col min="12" max="12" width="10.33203125" customWidth="1"/>
    <col min="14" max="16" width="10.1640625" customWidth="1"/>
    <col min="17" max="17" width="10.33203125" customWidth="1"/>
  </cols>
  <sheetData>
    <row r="1" spans="1:19" ht="19" thickBot="1">
      <c r="A1" s="1" t="s">
        <v>245</v>
      </c>
      <c r="B1" s="1"/>
      <c r="C1" s="1"/>
      <c r="D1" s="1"/>
      <c r="E1" s="1"/>
      <c r="F1" s="1"/>
      <c r="G1" s="1"/>
      <c r="H1" s="1"/>
      <c r="I1" s="1"/>
      <c r="K1" s="1" t="s">
        <v>255</v>
      </c>
      <c r="L1" s="1"/>
      <c r="M1" s="1"/>
      <c r="N1" s="1"/>
      <c r="O1" s="1"/>
      <c r="P1" s="1"/>
      <c r="Q1" s="1"/>
      <c r="R1" s="1"/>
      <c r="S1" s="1"/>
    </row>
    <row r="2" spans="1:19" ht="14" thickTop="1"/>
    <row r="3" spans="1:19">
      <c r="C3" s="5" t="s">
        <v>188</v>
      </c>
      <c r="H3" s="5" t="s">
        <v>246</v>
      </c>
      <c r="M3" s="5" t="s">
        <v>188</v>
      </c>
      <c r="R3" s="5" t="s">
        <v>256</v>
      </c>
    </row>
    <row r="4" spans="1:19">
      <c r="C4" s="2">
        <v>120</v>
      </c>
      <c r="D4" s="2">
        <v>800</v>
      </c>
      <c r="E4" s="2">
        <v>100</v>
      </c>
      <c r="F4" s="2">
        <v>120</v>
      </c>
      <c r="G4" s="2">
        <v>250</v>
      </c>
      <c r="H4" s="3">
        <f>MAX(C4:G4)</f>
        <v>800</v>
      </c>
      <c r="I4" s="123" t="str">
        <f ca="1">_xlfn.FORMULATEXT(H4)</f>
        <v>=MAX(C4:G4)</v>
      </c>
      <c r="M4" s="2">
        <v>120</v>
      </c>
      <c r="N4" s="2">
        <v>800</v>
      </c>
      <c r="O4" s="2">
        <v>100</v>
      </c>
      <c r="P4" s="2">
        <v>120</v>
      </c>
      <c r="Q4" s="2">
        <v>250</v>
      </c>
      <c r="R4" s="3">
        <f>MIN(M4:Q4)</f>
        <v>100</v>
      </c>
      <c r="S4" s="123" t="str">
        <f ca="1">_xlfn.FORMULATEXT(R4)</f>
        <v>=MIN(M4:Q4)</v>
      </c>
    </row>
    <row r="6" spans="1:19">
      <c r="C6" s="5" t="s">
        <v>247</v>
      </c>
      <c r="H6" s="5" t="s">
        <v>246</v>
      </c>
      <c r="M6" s="5" t="s">
        <v>247</v>
      </c>
      <c r="R6" s="5" t="s">
        <v>246</v>
      </c>
    </row>
    <row r="7" spans="1:19">
      <c r="C7" s="31">
        <v>44197</v>
      </c>
      <c r="D7" s="31">
        <v>44555</v>
      </c>
      <c r="E7" s="31">
        <v>44286</v>
      </c>
      <c r="F7" s="31">
        <v>44557</v>
      </c>
      <c r="G7" s="31">
        <v>44381</v>
      </c>
      <c r="H7" s="39">
        <f>MAX(C7:G7)</f>
        <v>44557</v>
      </c>
      <c r="I7" s="123" t="str">
        <f ca="1">_xlfn.FORMULATEXT(H7)</f>
        <v>=MAX(C7:G7)</v>
      </c>
      <c r="M7" s="31">
        <v>44197</v>
      </c>
      <c r="N7" s="31">
        <v>44555</v>
      </c>
      <c r="O7" s="31">
        <v>44286</v>
      </c>
      <c r="P7" s="31">
        <v>44557</v>
      </c>
      <c r="Q7" s="31">
        <v>44381</v>
      </c>
      <c r="R7" s="39">
        <f>MIN(M7:Q7)</f>
        <v>44197</v>
      </c>
      <c r="S7" s="123" t="str">
        <f ca="1">_xlfn.FORMULATEXT(R7)</f>
        <v>=MIN(M7:Q7)</v>
      </c>
    </row>
    <row r="9" spans="1:19" ht="14" thickBot="1">
      <c r="B9" s="14" t="s">
        <v>29</v>
      </c>
      <c r="C9" s="14"/>
      <c r="D9" s="14"/>
      <c r="E9" s="14"/>
      <c r="F9" s="14"/>
      <c r="G9" s="14"/>
      <c r="H9" s="14"/>
      <c r="I9" s="14"/>
      <c r="L9" s="14" t="s">
        <v>29</v>
      </c>
      <c r="M9" s="14"/>
      <c r="N9" s="14"/>
      <c r="O9" s="14"/>
      <c r="P9" s="14"/>
      <c r="Q9" s="14"/>
      <c r="R9" s="14"/>
      <c r="S9" s="14"/>
    </row>
    <row r="10" spans="1:19">
      <c r="B10" t="s">
        <v>248</v>
      </c>
      <c r="L10" t="s">
        <v>257</v>
      </c>
    </row>
    <row r="12" spans="1:19" ht="14" thickBot="1">
      <c r="B12" s="14" t="s">
        <v>24</v>
      </c>
      <c r="C12" s="14"/>
      <c r="D12" s="14"/>
      <c r="E12" s="14"/>
      <c r="F12" s="14"/>
      <c r="G12" s="14"/>
      <c r="H12" s="14"/>
      <c r="I12" s="14"/>
      <c r="L12" s="14" t="s">
        <v>24</v>
      </c>
      <c r="M12" s="14"/>
      <c r="N12" s="14"/>
      <c r="O12" s="14"/>
      <c r="P12" s="14"/>
      <c r="Q12" s="14"/>
      <c r="R12" s="14"/>
      <c r="S12" s="14"/>
    </row>
    <row r="13" spans="1:19">
      <c r="B13" s="18" t="s">
        <v>249</v>
      </c>
      <c r="L13" s="18" t="s">
        <v>258</v>
      </c>
    </row>
    <row r="15" spans="1:19" ht="14" thickBot="1">
      <c r="B15" s="14" t="s">
        <v>25</v>
      </c>
      <c r="C15" s="14"/>
      <c r="D15" s="14"/>
      <c r="E15" s="14"/>
      <c r="F15" s="14"/>
      <c r="G15" s="14"/>
      <c r="H15" s="14"/>
      <c r="I15" s="14"/>
      <c r="L15" s="14" t="s">
        <v>25</v>
      </c>
      <c r="M15" s="14"/>
      <c r="N15" s="14"/>
      <c r="O15" s="14"/>
      <c r="P15" s="14"/>
      <c r="Q15" s="14"/>
      <c r="R15" s="14"/>
      <c r="S15" s="14"/>
    </row>
    <row r="16" spans="1:19">
      <c r="B16" t="s">
        <v>250</v>
      </c>
      <c r="L16" t="s">
        <v>259</v>
      </c>
    </row>
    <row r="17" spans="2:18">
      <c r="B17" t="s">
        <v>251</v>
      </c>
      <c r="L17" t="s">
        <v>251</v>
      </c>
    </row>
    <row r="19" spans="2:18">
      <c r="B19" s="5" t="s">
        <v>65</v>
      </c>
      <c r="C19" s="5" t="s">
        <v>0</v>
      </c>
      <c r="D19" s="5" t="s">
        <v>1</v>
      </c>
      <c r="E19" s="5" t="s">
        <v>2</v>
      </c>
      <c r="G19" s="5" t="s">
        <v>252</v>
      </c>
      <c r="L19" s="5" t="s">
        <v>65</v>
      </c>
      <c r="M19" s="5" t="s">
        <v>0</v>
      </c>
      <c r="N19" s="5" t="s">
        <v>1</v>
      </c>
      <c r="O19" s="5" t="s">
        <v>2</v>
      </c>
      <c r="Q19" s="5" t="s">
        <v>260</v>
      </c>
    </row>
    <row r="20" spans="2:18">
      <c r="B20" s="5" t="s">
        <v>3</v>
      </c>
      <c r="C20" s="75">
        <v>5000</v>
      </c>
      <c r="D20" s="75">
        <v>6000</v>
      </c>
      <c r="E20" s="75">
        <v>4500</v>
      </c>
      <c r="G20" s="76">
        <f>MAX(C20:E20)</f>
        <v>6000</v>
      </c>
      <c r="H20" s="123" t="str">
        <f ca="1">_xlfn.FORMULATEXT(G20)</f>
        <v>=MAX(C20:E20)</v>
      </c>
      <c r="L20" s="5" t="s">
        <v>3</v>
      </c>
      <c r="M20" s="75">
        <v>5000</v>
      </c>
      <c r="N20" s="75">
        <v>6000</v>
      </c>
      <c r="O20" s="75">
        <v>4500</v>
      </c>
      <c r="Q20" s="76">
        <f>MIN(M20:O20)</f>
        <v>4500</v>
      </c>
      <c r="R20" s="123" t="str">
        <f ca="1">_xlfn.FORMULATEXT(Q20)</f>
        <v>=MIN(M20:O20)</v>
      </c>
    </row>
    <row r="21" spans="2:18">
      <c r="B21" s="5" t="s">
        <v>4</v>
      </c>
      <c r="C21" s="75">
        <v>5800</v>
      </c>
      <c r="D21" s="75">
        <v>7000</v>
      </c>
      <c r="E21" s="75">
        <v>3000</v>
      </c>
      <c r="G21" s="76">
        <f>MAX(C21:E21)</f>
        <v>7000</v>
      </c>
      <c r="L21" s="5" t="s">
        <v>4</v>
      </c>
      <c r="M21" s="75">
        <v>5800</v>
      </c>
      <c r="N21" s="75">
        <v>7000</v>
      </c>
      <c r="O21" s="75">
        <v>3000</v>
      </c>
      <c r="Q21" s="76">
        <f>MIN(M21:O21)</f>
        <v>3000</v>
      </c>
    </row>
    <row r="22" spans="2:18">
      <c r="B22" s="5" t="s">
        <v>5</v>
      </c>
      <c r="C22" s="75">
        <v>3500</v>
      </c>
      <c r="D22" s="75">
        <v>2000</v>
      </c>
      <c r="E22" s="75">
        <v>10000</v>
      </c>
      <c r="G22" s="76">
        <f>MAX(C22:E22)</f>
        <v>10000</v>
      </c>
      <c r="L22" s="5" t="s">
        <v>5</v>
      </c>
      <c r="M22" s="75">
        <v>3500</v>
      </c>
      <c r="N22" s="75">
        <v>2000</v>
      </c>
      <c r="O22" s="75">
        <v>10000</v>
      </c>
      <c r="Q22" s="76">
        <f>MIN(M22:O22)</f>
        <v>2000</v>
      </c>
    </row>
    <row r="23" spans="2:18">
      <c r="B23" s="5" t="s">
        <v>6</v>
      </c>
      <c r="C23" s="75">
        <v>12000</v>
      </c>
      <c r="D23" s="75">
        <v>4000</v>
      </c>
      <c r="E23" s="75">
        <v>6000</v>
      </c>
      <c r="G23" s="76">
        <f>MAX(C23:E23)</f>
        <v>12000</v>
      </c>
      <c r="L23" s="5" t="s">
        <v>6</v>
      </c>
      <c r="M23" s="75">
        <v>12000</v>
      </c>
      <c r="N23" s="75">
        <v>4000</v>
      </c>
      <c r="O23" s="75">
        <v>6000</v>
      </c>
      <c r="Q23" s="76">
        <f>MIN(M23:O23)</f>
        <v>4000</v>
      </c>
    </row>
    <row r="25" spans="2:18">
      <c r="B25" s="11" t="s">
        <v>253</v>
      </c>
      <c r="C25" s="76">
        <f>MAX(C20:C23)</f>
        <v>12000</v>
      </c>
      <c r="D25" s="76">
        <f>MAX(D20:D23)</f>
        <v>7000</v>
      </c>
      <c r="E25" s="76">
        <f>MAX(E20:E23)</f>
        <v>10000</v>
      </c>
      <c r="L25" s="11" t="s">
        <v>261</v>
      </c>
      <c r="M25" s="76">
        <f>MIN(M20:M23)</f>
        <v>3500</v>
      </c>
      <c r="N25" s="76">
        <f>MIN(N20:N23)</f>
        <v>2000</v>
      </c>
      <c r="O25" s="76">
        <f>MIN(O20:O23)</f>
        <v>3000</v>
      </c>
    </row>
    <row r="26" spans="2:18">
      <c r="E26" s="123" t="str">
        <f ca="1">_xlfn.FORMULATEXT(E25)</f>
        <v>=MAX(E20:E23)</v>
      </c>
      <c r="O26" s="123" t="str">
        <f ca="1">_xlfn.FORMULATEXT(O25)</f>
        <v>=MIN(O20:O23)</v>
      </c>
    </row>
    <row r="27" spans="2:18">
      <c r="B27" s="11" t="s">
        <v>254</v>
      </c>
      <c r="C27" s="76">
        <f>MAX(C20:E23)</f>
        <v>12000</v>
      </c>
      <c r="L27" s="11" t="s">
        <v>262</v>
      </c>
      <c r="M27" s="76">
        <f>MIN(M20:O23)</f>
        <v>2000</v>
      </c>
    </row>
    <row r="28" spans="2:18">
      <c r="C28" s="123" t="str">
        <f ca="1">_xlfn.FORMULATEXT(C27)</f>
        <v>=MAX(C20:E23)</v>
      </c>
      <c r="M28" s="123" t="str">
        <f ca="1">_xlfn.FORMULATEXT(M27)</f>
        <v>=MIN(M20:O23)</v>
      </c>
    </row>
  </sheetData>
  <printOptions headings="1" gridLines="1"/>
  <pageMargins left="0.74803149606299213" right="0.74803149606299213" top="0.98425196850393704" bottom="0.98425196850393704" header="0.51181102362204722" footer="0.51181102362204722"/>
  <pageSetup paperSize="9" scale="46" fitToHeight="5" orientation="portrait" r:id="rId1"/>
  <headerFooter alignWithMargins="0">
    <oddHeader>&amp;LExcel Function Dictionary
© 1998 - 2000 Peter Noneley&amp;R&amp;A
Page &amp;P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4">
    <tabColor rgb="FF00B050"/>
    <pageSetUpPr fitToPage="1"/>
  </sheetPr>
  <dimension ref="A1:S79"/>
  <sheetViews>
    <sheetView showGridLines="0" zoomScale="90" zoomScaleNormal="90" workbookViewId="0">
      <pane ySplit="1" topLeftCell="A2" activePane="bottomLeft" state="frozen"/>
      <selection activeCell="K21" sqref="K21"/>
      <selection pane="bottomLeft" activeCell="P28" sqref="P28"/>
    </sheetView>
  </sheetViews>
  <sheetFormatPr baseColWidth="10" defaultColWidth="8.83203125" defaultRowHeight="13"/>
  <cols>
    <col min="1" max="1" width="2.83203125" customWidth="1"/>
    <col min="5" max="5" width="11.5" customWidth="1"/>
    <col min="6" max="6" width="12.83203125" customWidth="1"/>
    <col min="11" max="11" width="2.83203125" customWidth="1"/>
    <col min="14" max="14" width="9.5" customWidth="1"/>
    <col min="15" max="15" width="16.1640625" customWidth="1"/>
    <col min="16" max="16" width="12.83203125" customWidth="1"/>
    <col min="17" max="17" width="11.1640625" customWidth="1"/>
    <col min="19" max="19" width="14.83203125" customWidth="1"/>
  </cols>
  <sheetData>
    <row r="1" spans="1:19" ht="19" thickBot="1">
      <c r="A1" s="1" t="s">
        <v>97</v>
      </c>
      <c r="B1" s="1"/>
      <c r="C1" s="1"/>
      <c r="D1" s="1"/>
      <c r="E1" s="1"/>
      <c r="F1" s="1"/>
      <c r="G1" s="1"/>
      <c r="H1" s="1"/>
      <c r="I1" s="1"/>
      <c r="K1" s="1" t="s">
        <v>554</v>
      </c>
      <c r="L1" s="1"/>
      <c r="M1" s="1"/>
      <c r="N1" s="1"/>
      <c r="O1" s="1"/>
      <c r="P1" s="1"/>
      <c r="Q1" s="1"/>
      <c r="R1" s="1"/>
      <c r="S1" s="1"/>
    </row>
    <row r="2" spans="1:19" ht="14" thickTop="1"/>
    <row r="3" spans="1:19" ht="28">
      <c r="B3" s="5" t="s">
        <v>33</v>
      </c>
      <c r="C3" s="5" t="s">
        <v>65</v>
      </c>
      <c r="D3" s="5" t="s">
        <v>93</v>
      </c>
      <c r="E3" s="5" t="s">
        <v>30</v>
      </c>
      <c r="L3" s="5" t="s">
        <v>33</v>
      </c>
      <c r="M3" s="5" t="s">
        <v>65</v>
      </c>
      <c r="N3" s="5" t="s">
        <v>93</v>
      </c>
      <c r="O3" s="15" t="s">
        <v>555</v>
      </c>
      <c r="P3" s="15" t="s">
        <v>556</v>
      </c>
      <c r="Q3" s="15" t="s">
        <v>557</v>
      </c>
    </row>
    <row r="4" spans="1:19">
      <c r="B4" s="2" t="s">
        <v>34</v>
      </c>
      <c r="C4" s="78">
        <v>1000</v>
      </c>
      <c r="D4" s="78">
        <v>5000</v>
      </c>
      <c r="E4" s="3" t="str">
        <f>IF(C4&gt;=D4,"Achieved","Not Achieved")</f>
        <v>Not Achieved</v>
      </c>
      <c r="F4" s="123" t="str">
        <f ca="1">_xlfn.FORMULATEXT(E4)</f>
        <v>=IF(C4&gt;=D4,"Achieved","Not Achieved")</v>
      </c>
      <c r="L4" s="2" t="s">
        <v>34</v>
      </c>
      <c r="M4" s="78">
        <v>1000</v>
      </c>
      <c r="N4" s="78">
        <v>5000</v>
      </c>
      <c r="O4" s="3" t="b">
        <f>M4&gt;=N4</f>
        <v>0</v>
      </c>
      <c r="P4" s="258">
        <f>--(M4&gt;=N4)</f>
        <v>0</v>
      </c>
      <c r="Q4" s="258">
        <f>1-P4</f>
        <v>1</v>
      </c>
    </row>
    <row r="5" spans="1:19">
      <c r="B5" s="2" t="s">
        <v>35</v>
      </c>
      <c r="C5" s="78">
        <v>6000</v>
      </c>
      <c r="D5" s="78">
        <v>5000</v>
      </c>
      <c r="E5" s="3" t="str">
        <f>IF(C5&gt;=D5,"Achieved","Not Achieved")</f>
        <v>Achieved</v>
      </c>
      <c r="F5" s="123" t="str">
        <f ca="1">_xlfn.FORMULATEXT(E5)</f>
        <v>=IF(C5&gt;=D5,"Achieved","Not Achieved")</v>
      </c>
      <c r="L5" s="2" t="s">
        <v>35</v>
      </c>
      <c r="M5" s="78">
        <v>6000</v>
      </c>
      <c r="N5" s="78">
        <v>5000</v>
      </c>
      <c r="O5" s="3" t="b">
        <f t="shared" ref="O5:O6" si="0">M5&gt;=N5</f>
        <v>1</v>
      </c>
      <c r="P5" s="258">
        <f t="shared" ref="P5:P6" si="1">--(M5&gt;=N5)</f>
        <v>1</v>
      </c>
      <c r="Q5" s="258">
        <f t="shared" ref="Q5:Q6" si="2">1-P5</f>
        <v>0</v>
      </c>
    </row>
    <row r="6" spans="1:19">
      <c r="B6" s="2" t="s">
        <v>36</v>
      </c>
      <c r="C6" s="78">
        <v>2000</v>
      </c>
      <c r="D6" s="78">
        <v>4000</v>
      </c>
      <c r="E6" s="3" t="str">
        <f>IF(C6&gt;=D6,"Achieved","Not Achieved")</f>
        <v>Not Achieved</v>
      </c>
      <c r="F6" s="123" t="str">
        <f ca="1">_xlfn.FORMULATEXT(E6)</f>
        <v>=IF(C6&gt;=D6,"Achieved","Not Achieved")</v>
      </c>
      <c r="L6" s="2" t="s">
        <v>36</v>
      </c>
      <c r="M6" s="78">
        <v>2000</v>
      </c>
      <c r="N6" s="78">
        <v>4000</v>
      </c>
      <c r="O6" s="3" t="b">
        <f t="shared" si="0"/>
        <v>0</v>
      </c>
      <c r="P6" s="258">
        <f t="shared" si="1"/>
        <v>0</v>
      </c>
      <c r="Q6" s="258">
        <f t="shared" si="2"/>
        <v>1</v>
      </c>
    </row>
    <row r="7" spans="1:19">
      <c r="O7" s="105" t="str">
        <f ca="1">_xlfn.FORMULATEXT(O6)</f>
        <v>=M6&gt;=N6</v>
      </c>
      <c r="P7" s="105" t="str">
        <f t="shared" ref="P7:Q7" ca="1" si="3">_xlfn.FORMULATEXT(P6)</f>
        <v>=--(M6&gt;=N6)</v>
      </c>
      <c r="Q7" s="105" t="str">
        <f t="shared" ca="1" si="3"/>
        <v>=1-P6</v>
      </c>
    </row>
    <row r="8" spans="1:19" ht="14" thickBot="1">
      <c r="B8" s="14" t="s">
        <v>31</v>
      </c>
      <c r="C8" s="14"/>
      <c r="D8" s="14"/>
      <c r="E8" s="14"/>
      <c r="F8" s="14"/>
      <c r="G8" s="14"/>
      <c r="H8" s="14"/>
      <c r="I8" s="14"/>
      <c r="L8" s="14" t="s">
        <v>31</v>
      </c>
      <c r="M8" s="14"/>
      <c r="N8" s="14"/>
      <c r="O8" s="14"/>
      <c r="P8" s="14"/>
      <c r="Q8" s="14"/>
      <c r="R8" s="14"/>
      <c r="S8" s="14"/>
    </row>
    <row r="9" spans="1:19">
      <c r="B9" t="s">
        <v>98</v>
      </c>
      <c r="L9" t="s">
        <v>98</v>
      </c>
    </row>
    <row r="10" spans="1:19">
      <c r="B10" t="s">
        <v>99</v>
      </c>
      <c r="L10" t="s">
        <v>99</v>
      </c>
    </row>
    <row r="11" spans="1:19">
      <c r="B11" t="s">
        <v>100</v>
      </c>
      <c r="L11" t="s">
        <v>100</v>
      </c>
    </row>
    <row r="12" spans="1:19">
      <c r="B12" t="s">
        <v>101</v>
      </c>
      <c r="L12" t="s">
        <v>575</v>
      </c>
    </row>
    <row r="14" spans="1:19" ht="14" thickBot="1">
      <c r="B14" s="14" t="s">
        <v>24</v>
      </c>
      <c r="C14" s="14"/>
      <c r="D14" s="14"/>
      <c r="E14" s="14"/>
      <c r="F14" s="14"/>
      <c r="G14" s="14"/>
      <c r="H14" s="14"/>
      <c r="I14" s="14"/>
      <c r="L14" s="14" t="s">
        <v>24</v>
      </c>
      <c r="M14" s="14"/>
      <c r="N14" s="14"/>
      <c r="O14" s="14"/>
      <c r="P14" s="14"/>
      <c r="Q14" s="14"/>
      <c r="R14" s="14"/>
      <c r="S14" s="14"/>
    </row>
    <row r="15" spans="1:19">
      <c r="B15" t="s">
        <v>102</v>
      </c>
      <c r="L15" s="18" t="s">
        <v>576</v>
      </c>
      <c r="O15" t="s">
        <v>577</v>
      </c>
    </row>
    <row r="16" spans="1:19">
      <c r="B16" t="s">
        <v>548</v>
      </c>
      <c r="L16" s="18" t="s">
        <v>578</v>
      </c>
      <c r="O16" t="s">
        <v>579</v>
      </c>
    </row>
    <row r="17" spans="2:19">
      <c r="B17" t="s">
        <v>103</v>
      </c>
      <c r="L17" s="18" t="s">
        <v>580</v>
      </c>
      <c r="O17" t="s">
        <v>581</v>
      </c>
    </row>
    <row r="19" spans="2:19" ht="14" thickBot="1">
      <c r="B19" s="14" t="s">
        <v>32</v>
      </c>
      <c r="C19" s="14"/>
      <c r="D19" s="14"/>
      <c r="E19" s="14"/>
      <c r="F19" s="14"/>
      <c r="G19" s="14"/>
      <c r="H19" s="14"/>
      <c r="I19" s="14"/>
      <c r="L19" s="14" t="s">
        <v>32</v>
      </c>
      <c r="M19" s="14"/>
      <c r="N19" s="14"/>
      <c r="O19" s="14"/>
      <c r="P19" s="14"/>
      <c r="Q19" s="14"/>
      <c r="R19" s="14"/>
      <c r="S19" s="14"/>
    </row>
    <row r="20" spans="2:19">
      <c r="B20" t="s">
        <v>547</v>
      </c>
      <c r="L20" t="s">
        <v>569</v>
      </c>
    </row>
    <row r="21" spans="2:19">
      <c r="B21" t="s">
        <v>104</v>
      </c>
      <c r="L21" t="s">
        <v>570</v>
      </c>
    </row>
    <row r="22" spans="2:19">
      <c r="B22" t="s">
        <v>105</v>
      </c>
      <c r="I22" s="72"/>
      <c r="L22" t="s">
        <v>571</v>
      </c>
    </row>
    <row r="23" spans="2:19">
      <c r="B23" t="s">
        <v>106</v>
      </c>
      <c r="L23" t="s">
        <v>572</v>
      </c>
    </row>
    <row r="25" spans="2:19">
      <c r="B25" t="s">
        <v>543</v>
      </c>
      <c r="E25" s="73">
        <v>0.1</v>
      </c>
      <c r="F25" t="s">
        <v>544</v>
      </c>
      <c r="H25" s="73">
        <v>0.05</v>
      </c>
      <c r="L25" t="s">
        <v>543</v>
      </c>
      <c r="O25" s="73">
        <v>0.1</v>
      </c>
      <c r="P25" t="s">
        <v>544</v>
      </c>
      <c r="R25" s="73">
        <v>0.05</v>
      </c>
    </row>
    <row r="27" spans="2:19">
      <c r="B27" s="5" t="s">
        <v>33</v>
      </c>
      <c r="C27" s="5" t="s">
        <v>65</v>
      </c>
      <c r="D27" s="5" t="s">
        <v>93</v>
      </c>
      <c r="E27" s="5" t="s">
        <v>92</v>
      </c>
      <c r="L27" s="5" t="s">
        <v>33</v>
      </c>
      <c r="M27" s="5" t="s">
        <v>65</v>
      </c>
      <c r="N27" s="5" t="s">
        <v>93</v>
      </c>
      <c r="O27" s="5" t="s">
        <v>555</v>
      </c>
      <c r="P27" s="5" t="s">
        <v>92</v>
      </c>
    </row>
    <row r="28" spans="2:19">
      <c r="B28" s="2" t="s">
        <v>34</v>
      </c>
      <c r="C28" s="78">
        <v>1000</v>
      </c>
      <c r="D28" s="78">
        <v>5000</v>
      </c>
      <c r="E28" s="257">
        <f>C28*IF(C28&gt;=D28,$E$25,$H$25)</f>
        <v>50</v>
      </c>
      <c r="F28" s="123" t="str">
        <f ca="1">_xlfn.FORMULATEXT(E28)</f>
        <v>=C28*IF(C28&gt;=D28,$E$25,$H$25)</v>
      </c>
      <c r="L28" s="2" t="s">
        <v>34</v>
      </c>
      <c r="M28" s="78">
        <v>1000</v>
      </c>
      <c r="N28" s="78">
        <v>5000</v>
      </c>
      <c r="O28" s="3" t="b">
        <f t="shared" ref="O28:O30" si="4">M28&gt;=N28</f>
        <v>0</v>
      </c>
      <c r="P28" s="257">
        <f>M28*($O$25*O28+$R$25*(1-O28))</f>
        <v>50</v>
      </c>
      <c r="Q28" s="123" t="str">
        <f ca="1">_xlfn.FORMULATEXT(P28)</f>
        <v>=M28*($O$25*O28+$R$25*(1-O28))</v>
      </c>
    </row>
    <row r="29" spans="2:19">
      <c r="B29" s="2" t="s">
        <v>35</v>
      </c>
      <c r="C29" s="78">
        <v>6000</v>
      </c>
      <c r="D29" s="78">
        <v>5000</v>
      </c>
      <c r="E29" s="257">
        <f t="shared" ref="E29:E30" si="5">C29*IF(C29&gt;=D29,$E$25,$H$25)</f>
        <v>600</v>
      </c>
      <c r="F29" s="123" t="str">
        <f ca="1">_xlfn.FORMULATEXT(E29)</f>
        <v>=C29*IF(C29&gt;=D29,$E$25,$H$25)</v>
      </c>
      <c r="L29" s="2" t="s">
        <v>35</v>
      </c>
      <c r="M29" s="78">
        <v>6000</v>
      </c>
      <c r="N29" s="78">
        <v>5000</v>
      </c>
      <c r="O29" s="3" t="b">
        <f t="shared" si="4"/>
        <v>1</v>
      </c>
      <c r="P29" s="257">
        <f t="shared" ref="P29:P30" si="6">M29*($O$25*O29+$R$25*(1-O29))</f>
        <v>600</v>
      </c>
      <c r="Q29" s="123" t="str">
        <f ca="1">_xlfn.FORMULATEXT(P29)</f>
        <v>=M29*($O$25*O29+$R$25*(1-O29))</v>
      </c>
    </row>
    <row r="30" spans="2:19">
      <c r="B30" s="2" t="s">
        <v>36</v>
      </c>
      <c r="C30" s="78">
        <v>2000</v>
      </c>
      <c r="D30" s="78">
        <v>4000</v>
      </c>
      <c r="E30" s="257">
        <f t="shared" si="5"/>
        <v>100</v>
      </c>
      <c r="F30" s="123" t="str">
        <f ca="1">_xlfn.FORMULATEXT(E30)</f>
        <v>=C30*IF(C30&gt;=D30,$E$25,$H$25)</v>
      </c>
      <c r="L30" s="2" t="s">
        <v>36</v>
      </c>
      <c r="M30" s="78">
        <v>2000</v>
      </c>
      <c r="N30" s="78">
        <v>4000</v>
      </c>
      <c r="O30" s="3" t="b">
        <f t="shared" si="4"/>
        <v>0</v>
      </c>
      <c r="P30" s="257">
        <f t="shared" si="6"/>
        <v>100</v>
      </c>
      <c r="Q30" s="123" t="str">
        <f ca="1">_xlfn.FORMULATEXT(P30)</f>
        <v>=M30*($O$25*O30+$R$25*(1-O30))</v>
      </c>
    </row>
    <row r="32" spans="2:19" ht="14" thickBot="1">
      <c r="B32" s="14" t="s">
        <v>56</v>
      </c>
      <c r="C32" s="14"/>
      <c r="D32" s="14"/>
      <c r="E32" s="14"/>
      <c r="F32" s="14"/>
      <c r="G32" s="14"/>
      <c r="H32" s="14"/>
      <c r="I32" s="14"/>
      <c r="L32" s="14" t="s">
        <v>56</v>
      </c>
      <c r="M32" s="14"/>
      <c r="N32" s="14"/>
      <c r="O32" s="14"/>
      <c r="P32" s="14"/>
      <c r="Q32" s="14"/>
      <c r="R32" s="14"/>
      <c r="S32" s="14"/>
    </row>
    <row r="33" spans="2:18">
      <c r="B33" t="s">
        <v>550</v>
      </c>
      <c r="L33" t="s">
        <v>558</v>
      </c>
    </row>
    <row r="34" spans="2:18">
      <c r="B34" t="s">
        <v>107</v>
      </c>
      <c r="L34" t="s">
        <v>559</v>
      </c>
    </row>
    <row r="35" spans="2:18">
      <c r="B35" t="s">
        <v>108</v>
      </c>
      <c r="L35" t="s">
        <v>568</v>
      </c>
    </row>
    <row r="36" spans="2:18">
      <c r="B36" t="s">
        <v>583</v>
      </c>
    </row>
    <row r="37" spans="2:18">
      <c r="B37" t="s">
        <v>109</v>
      </c>
    </row>
    <row r="38" spans="2:18">
      <c r="B38" t="s">
        <v>110</v>
      </c>
    </row>
    <row r="40" spans="2:18">
      <c r="B40" t="s">
        <v>545</v>
      </c>
      <c r="E40" s="2" t="s">
        <v>115</v>
      </c>
      <c r="G40" s="74" t="s">
        <v>546</v>
      </c>
      <c r="H40" s="78">
        <v>1000</v>
      </c>
      <c r="L40" t="s">
        <v>545</v>
      </c>
      <c r="O40" s="2" t="s">
        <v>115</v>
      </c>
      <c r="Q40" s="74" t="s">
        <v>546</v>
      </c>
      <c r="R40" s="78">
        <v>1000</v>
      </c>
    </row>
    <row r="41" spans="2:18">
      <c r="G41" s="74" t="s">
        <v>96</v>
      </c>
      <c r="H41" s="73">
        <v>0.1</v>
      </c>
      <c r="Q41" s="74" t="s">
        <v>96</v>
      </c>
      <c r="R41" s="73">
        <v>0.1</v>
      </c>
    </row>
    <row r="42" spans="2:18">
      <c r="B42" s="40"/>
      <c r="C42" s="40" t="s">
        <v>111</v>
      </c>
      <c r="D42" s="40" t="s">
        <v>112</v>
      </c>
      <c r="L42" s="40"/>
      <c r="M42" s="40" t="s">
        <v>111</v>
      </c>
      <c r="N42" s="40" t="s">
        <v>112</v>
      </c>
    </row>
    <row r="43" spans="2:18">
      <c r="B43" s="41" t="s">
        <v>90</v>
      </c>
      <c r="C43" s="41" t="s">
        <v>113</v>
      </c>
      <c r="D43" s="41" t="s">
        <v>114</v>
      </c>
      <c r="E43" s="5" t="s">
        <v>96</v>
      </c>
      <c r="F43" s="5" t="s">
        <v>23</v>
      </c>
      <c r="L43" s="41" t="s">
        <v>90</v>
      </c>
      <c r="M43" s="41" t="s">
        <v>113</v>
      </c>
      <c r="N43" s="41" t="s">
        <v>114</v>
      </c>
      <c r="O43" s="5" t="s">
        <v>96</v>
      </c>
      <c r="P43" s="5" t="s">
        <v>23</v>
      </c>
    </row>
    <row r="44" spans="2:18">
      <c r="B44" s="2" t="s">
        <v>59</v>
      </c>
      <c r="C44" s="2" t="s">
        <v>115</v>
      </c>
      <c r="D44" s="78">
        <v>2000</v>
      </c>
      <c r="E44" s="77">
        <f t="shared" ref="E44:E47" si="7">IF(AND(C44=$E$40,D44&gt;=$H$40),D44*$H$41,0)</f>
        <v>200</v>
      </c>
      <c r="F44" s="77">
        <f>D44-E44</f>
        <v>1800</v>
      </c>
      <c r="L44" s="2" t="s">
        <v>59</v>
      </c>
      <c r="M44" s="2" t="s">
        <v>115</v>
      </c>
      <c r="N44" s="78">
        <v>2000</v>
      </c>
      <c r="O44" s="77">
        <f>N44*$R$41*(M44=$O$40)*(N44&gt;=$R$40)</f>
        <v>200</v>
      </c>
      <c r="P44" s="77">
        <f>N44-O44</f>
        <v>1800</v>
      </c>
    </row>
    <row r="45" spans="2:18">
      <c r="B45" s="2" t="s">
        <v>76</v>
      </c>
      <c r="C45" s="2" t="s">
        <v>51</v>
      </c>
      <c r="D45" s="78">
        <v>2000</v>
      </c>
      <c r="E45" s="77">
        <f t="shared" si="7"/>
        <v>0</v>
      </c>
      <c r="F45" s="77">
        <f>D45-E45</f>
        <v>2000</v>
      </c>
      <c r="L45" s="2" t="s">
        <v>76</v>
      </c>
      <c r="M45" s="2" t="s">
        <v>51</v>
      </c>
      <c r="N45" s="78">
        <v>2000</v>
      </c>
      <c r="O45" s="77">
        <f t="shared" ref="O45:O47" si="8">N45*$R$41*(M45=$O$40)*(N45&gt;=$R$40)</f>
        <v>0</v>
      </c>
      <c r="P45" s="77">
        <f>N45-O45</f>
        <v>2000</v>
      </c>
    </row>
    <row r="46" spans="2:18">
      <c r="B46" s="2" t="s">
        <v>60</v>
      </c>
      <c r="C46" s="2" t="s">
        <v>115</v>
      </c>
      <c r="D46" s="78">
        <v>500</v>
      </c>
      <c r="E46" s="77">
        <f t="shared" si="7"/>
        <v>0</v>
      </c>
      <c r="F46" s="77">
        <f>D46-E46</f>
        <v>500</v>
      </c>
      <c r="L46" s="2" t="s">
        <v>60</v>
      </c>
      <c r="M46" s="2" t="s">
        <v>115</v>
      </c>
      <c r="N46" s="78">
        <v>500</v>
      </c>
      <c r="O46" s="77">
        <f t="shared" si="8"/>
        <v>0</v>
      </c>
      <c r="P46" s="77">
        <f>N46-O46</f>
        <v>500</v>
      </c>
    </row>
    <row r="47" spans="2:18">
      <c r="B47" s="2" t="s">
        <v>116</v>
      </c>
      <c r="C47" s="2" t="s">
        <v>115</v>
      </c>
      <c r="D47" s="78">
        <v>3000</v>
      </c>
      <c r="E47" s="77">
        <f t="shared" si="7"/>
        <v>300</v>
      </c>
      <c r="F47" s="77">
        <f>D47-E47</f>
        <v>2700</v>
      </c>
      <c r="L47" s="2" t="s">
        <v>116</v>
      </c>
      <c r="M47" s="2" t="s">
        <v>115</v>
      </c>
      <c r="N47" s="78">
        <v>3000</v>
      </c>
      <c r="O47" s="77">
        <f t="shared" si="8"/>
        <v>300</v>
      </c>
      <c r="P47" s="77">
        <f>N47-O47</f>
        <v>2700</v>
      </c>
    </row>
    <row r="48" spans="2:18">
      <c r="E48" s="123" t="str">
        <f ca="1">_xlfn.FORMULATEXT(E47)</f>
        <v>=IF(AND(C47=$E$40,D47&gt;=$H$40),D47*$H$41,0)</v>
      </c>
      <c r="O48" s="123" t="str">
        <f ca="1">_xlfn.FORMULATEXT(O47)</f>
        <v>=N47*$R$41*(M47=$O$40)*(N47&gt;=$R$40)</v>
      </c>
    </row>
    <row r="50" spans="2:19" ht="14" thickBot="1">
      <c r="B50" s="14" t="s">
        <v>61</v>
      </c>
      <c r="C50" s="14"/>
      <c r="D50" s="14"/>
      <c r="E50" s="14"/>
      <c r="F50" s="14"/>
      <c r="G50" s="14"/>
      <c r="H50" s="14"/>
      <c r="I50" s="14"/>
      <c r="L50" s="14" t="s">
        <v>61</v>
      </c>
      <c r="M50" s="14"/>
      <c r="N50" s="14"/>
      <c r="O50" s="14"/>
      <c r="P50" s="14"/>
      <c r="Q50" s="14"/>
      <c r="R50" s="14"/>
      <c r="S50" s="14"/>
    </row>
    <row r="51" spans="2:19">
      <c r="B51" t="s">
        <v>549</v>
      </c>
      <c r="L51" t="s">
        <v>560</v>
      </c>
    </row>
    <row r="52" spans="2:19">
      <c r="B52" t="s">
        <v>551</v>
      </c>
      <c r="L52" t="s">
        <v>562</v>
      </c>
    </row>
    <row r="53" spans="2:19">
      <c r="B53" t="s">
        <v>552</v>
      </c>
      <c r="L53" t="s">
        <v>561</v>
      </c>
    </row>
    <row r="54" spans="2:19">
      <c r="B54" t="s">
        <v>584</v>
      </c>
    </row>
    <row r="55" spans="2:19">
      <c r="B55" t="s">
        <v>553</v>
      </c>
    </row>
    <row r="56" spans="2:19">
      <c r="B56" t="s">
        <v>585</v>
      </c>
    </row>
    <row r="58" spans="2:19">
      <c r="B58" t="s">
        <v>545</v>
      </c>
      <c r="E58" s="2" t="s">
        <v>115</v>
      </c>
      <c r="G58" s="74" t="s">
        <v>546</v>
      </c>
      <c r="H58" s="78">
        <v>2500</v>
      </c>
      <c r="L58" t="s">
        <v>545</v>
      </c>
      <c r="O58" s="2" t="s">
        <v>115</v>
      </c>
      <c r="Q58" s="74" t="s">
        <v>546</v>
      </c>
      <c r="R58" s="78">
        <v>2500</v>
      </c>
    </row>
    <row r="59" spans="2:19">
      <c r="G59" s="74" t="s">
        <v>96</v>
      </c>
      <c r="H59" s="73">
        <v>0.1</v>
      </c>
      <c r="Q59" s="74" t="s">
        <v>96</v>
      </c>
      <c r="R59" s="73">
        <v>0.1</v>
      </c>
    </row>
    <row r="60" spans="2:19">
      <c r="B60" s="40"/>
      <c r="C60" s="40" t="s">
        <v>111</v>
      </c>
      <c r="D60" s="40" t="s">
        <v>112</v>
      </c>
      <c r="L60" s="40"/>
      <c r="M60" s="40" t="s">
        <v>111</v>
      </c>
      <c r="N60" s="40" t="s">
        <v>112</v>
      </c>
    </row>
    <row r="61" spans="2:19">
      <c r="B61" s="41" t="s">
        <v>90</v>
      </c>
      <c r="C61" s="41" t="s">
        <v>113</v>
      </c>
      <c r="D61" s="41" t="s">
        <v>114</v>
      </c>
      <c r="E61" s="5" t="s">
        <v>96</v>
      </c>
      <c r="F61" s="5" t="s">
        <v>23</v>
      </c>
      <c r="L61" s="41" t="s">
        <v>90</v>
      </c>
      <c r="M61" s="41" t="s">
        <v>113</v>
      </c>
      <c r="N61" s="41" t="s">
        <v>114</v>
      </c>
      <c r="O61" s="5" t="s">
        <v>96</v>
      </c>
      <c r="P61" s="5" t="s">
        <v>23</v>
      </c>
    </row>
    <row r="62" spans="2:19">
      <c r="B62" s="2" t="s">
        <v>59</v>
      </c>
      <c r="C62" s="2" t="s">
        <v>115</v>
      </c>
      <c r="D62" s="78">
        <v>2000</v>
      </c>
      <c r="E62" s="77">
        <f>IF(OR(C62=$E$58,D62&gt;=$H$58),D62*$H$59,0)</f>
        <v>200</v>
      </c>
      <c r="F62" s="77">
        <f>D62-E62</f>
        <v>1800</v>
      </c>
      <c r="L62" s="2" t="s">
        <v>59</v>
      </c>
      <c r="M62" s="2" t="s">
        <v>115</v>
      </c>
      <c r="N62" s="78">
        <v>2000</v>
      </c>
      <c r="O62" s="77">
        <f t="shared" ref="O62:O65" si="9">N62*$R$59*OR(M62=$O$58,N62&gt;=$R$58)</f>
        <v>200</v>
      </c>
      <c r="P62" s="77">
        <f>N62-O62</f>
        <v>1800</v>
      </c>
    </row>
    <row r="63" spans="2:19">
      <c r="B63" s="2" t="s">
        <v>76</v>
      </c>
      <c r="C63" s="2" t="s">
        <v>51</v>
      </c>
      <c r="D63" s="78">
        <v>2000</v>
      </c>
      <c r="E63" s="77">
        <f t="shared" ref="E63:E65" si="10">IF(OR(C63=$E$58,D63&gt;=$H$58),D63*$H$59,0)</f>
        <v>0</v>
      </c>
      <c r="F63" s="77">
        <f>D63-E63</f>
        <v>2000</v>
      </c>
      <c r="L63" s="2" t="s">
        <v>76</v>
      </c>
      <c r="M63" s="2" t="s">
        <v>51</v>
      </c>
      <c r="N63" s="78">
        <v>2000</v>
      </c>
      <c r="O63" s="77">
        <f t="shared" si="9"/>
        <v>0</v>
      </c>
      <c r="P63" s="77">
        <f>N63-O63</f>
        <v>2000</v>
      </c>
    </row>
    <row r="64" spans="2:19">
      <c r="B64" s="2" t="s">
        <v>60</v>
      </c>
      <c r="C64" s="2" t="s">
        <v>115</v>
      </c>
      <c r="D64" s="78">
        <v>500</v>
      </c>
      <c r="E64" s="77">
        <f t="shared" si="10"/>
        <v>50</v>
      </c>
      <c r="F64" s="77">
        <f>D64-E64</f>
        <v>450</v>
      </c>
      <c r="L64" s="2" t="s">
        <v>60</v>
      </c>
      <c r="M64" s="2" t="s">
        <v>115</v>
      </c>
      <c r="N64" s="78">
        <v>500</v>
      </c>
      <c r="O64" s="77">
        <f t="shared" si="9"/>
        <v>50</v>
      </c>
      <c r="P64" s="77">
        <f>N64-O64</f>
        <v>450</v>
      </c>
    </row>
    <row r="65" spans="2:19">
      <c r="B65" s="2" t="s">
        <v>116</v>
      </c>
      <c r="C65" s="2" t="s">
        <v>115</v>
      </c>
      <c r="D65" s="78">
        <v>3000</v>
      </c>
      <c r="E65" s="77">
        <f t="shared" si="10"/>
        <v>300</v>
      </c>
      <c r="F65" s="77">
        <f>D65-E65</f>
        <v>2700</v>
      </c>
      <c r="L65" s="2" t="s">
        <v>116</v>
      </c>
      <c r="M65" s="2" t="s">
        <v>115</v>
      </c>
      <c r="N65" s="78">
        <v>3000</v>
      </c>
      <c r="O65" s="77">
        <f t="shared" si="9"/>
        <v>300</v>
      </c>
      <c r="P65" s="77">
        <f>N65-O65</f>
        <v>2700</v>
      </c>
    </row>
    <row r="66" spans="2:19">
      <c r="E66" s="123" t="str">
        <f ca="1">_xlfn.FORMULATEXT(E65)</f>
        <v>=IF(OR(C65=$E$58,D65&gt;=$H$58),D65*$H$59,0)</v>
      </c>
      <c r="O66" s="123" t="str">
        <f ca="1">_xlfn.FORMULATEXT(O65)</f>
        <v>=N65*$R$59*OR(M65=$O$58,N65&gt;=$R$58)</v>
      </c>
    </row>
    <row r="68" spans="2:19" ht="14" thickBot="1">
      <c r="L68" s="14" t="s">
        <v>91</v>
      </c>
      <c r="M68" s="14"/>
      <c r="N68" s="14"/>
      <c r="O68" s="14"/>
      <c r="P68" s="14"/>
      <c r="Q68" s="14"/>
      <c r="R68" s="14"/>
      <c r="S68" s="14"/>
    </row>
    <row r="69" spans="2:19">
      <c r="L69" t="s">
        <v>567</v>
      </c>
    </row>
    <row r="70" spans="2:19">
      <c r="L70" t="s">
        <v>573</v>
      </c>
    </row>
    <row r="71" spans="2:19">
      <c r="L71" t="s">
        <v>574</v>
      </c>
    </row>
    <row r="73" spans="2:19">
      <c r="L73" s="40"/>
      <c r="M73" s="19" t="s">
        <v>566</v>
      </c>
      <c r="N73" s="19"/>
      <c r="O73" s="19" t="s">
        <v>565</v>
      </c>
      <c r="P73" s="19"/>
    </row>
    <row r="74" spans="2:19">
      <c r="L74" s="41" t="s">
        <v>90</v>
      </c>
      <c r="M74" s="5" t="s">
        <v>563</v>
      </c>
      <c r="N74" s="5" t="s">
        <v>564</v>
      </c>
      <c r="O74" s="5" t="s">
        <v>563</v>
      </c>
      <c r="P74" s="5" t="s">
        <v>564</v>
      </c>
    </row>
    <row r="75" spans="2:19">
      <c r="L75" s="2" t="s">
        <v>59</v>
      </c>
      <c r="M75" s="78">
        <v>2000</v>
      </c>
      <c r="N75" s="78">
        <v>2200</v>
      </c>
      <c r="O75" s="77">
        <f>MAX(N75-M75,0)</f>
        <v>200</v>
      </c>
      <c r="P75" s="77">
        <f>MAX(M75-N75,0)</f>
        <v>0</v>
      </c>
    </row>
    <row r="76" spans="2:19">
      <c r="L76" s="2" t="s">
        <v>76</v>
      </c>
      <c r="M76" s="78">
        <v>2000</v>
      </c>
      <c r="N76" s="78">
        <v>2000</v>
      </c>
      <c r="O76" s="77">
        <f t="shared" ref="O76:O78" si="11">MAX(N76-M76,0)</f>
        <v>0</v>
      </c>
      <c r="P76" s="77">
        <f t="shared" ref="P76:P78" si="12">MAX(M76-N76,0)</f>
        <v>0</v>
      </c>
    </row>
    <row r="77" spans="2:19">
      <c r="L77" s="2" t="s">
        <v>60</v>
      </c>
      <c r="M77" s="78">
        <v>500</v>
      </c>
      <c r="N77" s="78">
        <v>400</v>
      </c>
      <c r="O77" s="77">
        <f t="shared" si="11"/>
        <v>0</v>
      </c>
      <c r="P77" s="77">
        <f t="shared" si="12"/>
        <v>100</v>
      </c>
    </row>
    <row r="78" spans="2:19">
      <c r="L78" s="2" t="s">
        <v>116</v>
      </c>
      <c r="M78" s="78">
        <v>3000</v>
      </c>
      <c r="N78" s="78">
        <v>2800</v>
      </c>
      <c r="O78" s="77">
        <f t="shared" si="11"/>
        <v>0</v>
      </c>
      <c r="P78" s="77">
        <f t="shared" si="12"/>
        <v>200</v>
      </c>
    </row>
    <row r="79" spans="2:19">
      <c r="O79" s="123" t="str">
        <f ca="1">_xlfn.FORMULATEXT(O78)</f>
        <v>=MAX(N78-M78,0)</v>
      </c>
      <c r="P79" s="123" t="str">
        <f ca="1">_xlfn.FORMULATEXT(P78)</f>
        <v>=MAX(M78-N78,0)</v>
      </c>
    </row>
  </sheetData>
  <printOptions headings="1" gridLines="1"/>
  <pageMargins left="0.74803149606299213" right="0.74803149606299213" top="0.98425196850393704" bottom="0.98425196850393704" header="0.51181102362204722" footer="0.51181102362204722"/>
  <pageSetup paperSize="9" scale="45" fitToHeight="5" orientation="portrait" r:id="rId1"/>
  <headerFooter alignWithMargins="0">
    <oddHeader>&amp;LExcel Function Dictionary
© 1998 - 2000 Peter Noneley&amp;R&amp;A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P71"/>
  <sheetViews>
    <sheetView showGridLines="0" zoomScale="90" zoomScaleNormal="90" workbookViewId="0">
      <pane ySplit="1" topLeftCell="A52" activePane="bottomLeft" state="frozen"/>
      <selection activeCell="K21" sqref="K21"/>
      <selection pane="bottomLeft" activeCell="B78" sqref="B78"/>
    </sheetView>
  </sheetViews>
  <sheetFormatPr baseColWidth="10" defaultColWidth="8.83203125" defaultRowHeight="13"/>
  <cols>
    <col min="1" max="1" width="2.83203125" customWidth="1"/>
    <col min="2" max="2" width="17.1640625" customWidth="1"/>
    <col min="3" max="3" width="11.5" customWidth="1"/>
    <col min="4" max="4" width="17.83203125" customWidth="1"/>
    <col min="5" max="5" width="15.83203125" customWidth="1"/>
    <col min="6" max="15" width="11.1640625" customWidth="1"/>
    <col min="16" max="16" width="38.6640625" bestFit="1" customWidth="1"/>
  </cols>
  <sheetData>
    <row r="1" spans="1:16" ht="19" thickBot="1">
      <c r="A1" s="1" t="s">
        <v>651</v>
      </c>
      <c r="B1" s="1"/>
      <c r="C1" s="1"/>
      <c r="D1" s="1"/>
      <c r="E1" s="1"/>
      <c r="F1" s="1"/>
      <c r="G1" s="1"/>
      <c r="H1" s="1"/>
      <c r="I1" s="1"/>
      <c r="J1" s="1"/>
      <c r="K1" s="1"/>
      <c r="L1" s="1"/>
      <c r="M1" s="1"/>
      <c r="N1" s="1"/>
      <c r="O1" s="1"/>
      <c r="P1" s="1"/>
    </row>
    <row r="2" spans="1:16" ht="14" thickTop="1"/>
    <row r="3" spans="1:16">
      <c r="B3" t="s">
        <v>656</v>
      </c>
      <c r="E3" s="259">
        <f ca="1">TODAY()</f>
        <v>45921</v>
      </c>
      <c r="F3" s="123" t="str">
        <f t="shared" ref="F3" ca="1" si="0">_xlfn.FORMULATEXT(E3)</f>
        <v>=TODAY()</v>
      </c>
      <c r="I3" s="97"/>
    </row>
    <row r="5" spans="1:16">
      <c r="B5" t="s">
        <v>660</v>
      </c>
      <c r="D5" s="98">
        <v>45178</v>
      </c>
      <c r="E5" s="260">
        <f ca="1">D5-E3</f>
        <v>-743</v>
      </c>
      <c r="F5" s="123" t="str">
        <f t="shared" ref="F5:F6" ca="1" si="1">_xlfn.FORMULATEXT(E5)</f>
        <v>=D5-E3</v>
      </c>
    </row>
    <row r="6" spans="1:16">
      <c r="B6" t="s">
        <v>1219</v>
      </c>
      <c r="D6" s="98">
        <v>45178</v>
      </c>
      <c r="E6" s="267">
        <f ca="1">YEARFRAC(E3,D6,1)</f>
        <v>2.0337591240875912</v>
      </c>
      <c r="F6" s="123" t="str">
        <f t="shared" ca="1" si="1"/>
        <v>=YEARFRAC(E3,D6,1)</v>
      </c>
    </row>
    <row r="8" spans="1:16">
      <c r="B8" t="s">
        <v>657</v>
      </c>
      <c r="E8" s="259">
        <f ca="1">EOMONTH(E3,0)</f>
        <v>45930</v>
      </c>
      <c r="F8" s="123" t="str">
        <f t="shared" ref="F8:F10" ca="1" si="2">_xlfn.FORMULATEXT(E8)</f>
        <v>=EOMONTH(E3,0)</v>
      </c>
    </row>
    <row r="9" spans="1:16">
      <c r="B9" t="s">
        <v>658</v>
      </c>
      <c r="E9" s="259">
        <f ca="1">EOMONTH(E3,2)</f>
        <v>45991</v>
      </c>
      <c r="F9" s="123" t="str">
        <f t="shared" ca="1" si="2"/>
        <v>=EOMONTH(E3,2)</v>
      </c>
    </row>
    <row r="10" spans="1:16">
      <c r="B10" t="s">
        <v>1217</v>
      </c>
      <c r="E10" s="259">
        <f ca="1">EOMONTH(E3,-1)</f>
        <v>45900</v>
      </c>
      <c r="F10" s="123" t="str">
        <f t="shared" ca="1" si="2"/>
        <v>=EOMONTH(E3,-1)</v>
      </c>
    </row>
    <row r="12" spans="1:16">
      <c r="B12" t="s">
        <v>674</v>
      </c>
      <c r="E12" s="259">
        <f ca="1">EDATE(E3,12)</f>
        <v>46286</v>
      </c>
      <c r="F12" s="123" t="str">
        <f t="shared" ref="F12:F13" ca="1" si="3">_xlfn.FORMULATEXT(E12)</f>
        <v>=EDATE(E3,12)</v>
      </c>
    </row>
    <row r="13" spans="1:16">
      <c r="B13" t="s">
        <v>1216</v>
      </c>
      <c r="E13" s="259">
        <f ca="1">EDATE(E3,-3)</f>
        <v>45829</v>
      </c>
      <c r="F13" s="123" t="str">
        <f t="shared" ca="1" si="3"/>
        <v>=EDATE(E3,-3)</v>
      </c>
    </row>
    <row r="15" spans="1:16">
      <c r="B15" t="s">
        <v>659</v>
      </c>
      <c r="E15" s="261">
        <f ca="1">YEAR(E3)</f>
        <v>2025</v>
      </c>
      <c r="F15" s="123" t="str">
        <f t="shared" ref="F15:F17" ca="1" si="4">_xlfn.FORMULATEXT(E15)</f>
        <v>=YEAR(E3)</v>
      </c>
    </row>
    <row r="16" spans="1:16">
      <c r="B16" t="s">
        <v>681</v>
      </c>
      <c r="E16" s="261">
        <f ca="1">MONTH(E3)</f>
        <v>9</v>
      </c>
      <c r="F16" s="123" t="str">
        <f t="shared" ca="1" si="4"/>
        <v>=MONTH(E3)</v>
      </c>
    </row>
    <row r="17" spans="2:16">
      <c r="B17" t="s">
        <v>682</v>
      </c>
      <c r="E17" s="261">
        <f ca="1">DAY(E3)</f>
        <v>21</v>
      </c>
      <c r="F17" s="123" t="str">
        <f t="shared" ca="1" si="4"/>
        <v>=DAY(E3)</v>
      </c>
    </row>
    <row r="20" spans="2:16" ht="14" thickBot="1">
      <c r="B20" s="14" t="s">
        <v>669</v>
      </c>
      <c r="C20" s="14"/>
      <c r="D20" s="14"/>
      <c r="E20" s="14"/>
      <c r="F20" s="14"/>
      <c r="G20" s="14"/>
      <c r="H20" s="14"/>
      <c r="I20" s="14"/>
      <c r="J20" s="14"/>
      <c r="K20" s="14"/>
      <c r="L20" s="14"/>
      <c r="M20" s="14"/>
      <c r="N20" s="14"/>
      <c r="O20" s="14"/>
      <c r="P20" s="14"/>
    </row>
    <row r="22" spans="2:16">
      <c r="B22" t="s">
        <v>664</v>
      </c>
    </row>
    <row r="23" spans="2:16">
      <c r="B23" t="s">
        <v>667</v>
      </c>
    </row>
    <row r="25" spans="2:16">
      <c r="B25" t="s">
        <v>668</v>
      </c>
    </row>
    <row r="26" spans="2:16">
      <c r="C26" s="5" t="s">
        <v>666</v>
      </c>
      <c r="D26" s="5" t="s">
        <v>665</v>
      </c>
    </row>
    <row r="27" spans="2:16">
      <c r="C27" s="2">
        <v>1</v>
      </c>
      <c r="D27" s="99">
        <f>C27</f>
        <v>1</v>
      </c>
    </row>
    <row r="28" spans="2:16">
      <c r="C28" s="2">
        <v>10</v>
      </c>
      <c r="D28" s="99">
        <f>C28</f>
        <v>10</v>
      </c>
    </row>
    <row r="29" spans="2:16">
      <c r="C29" s="2">
        <v>45012</v>
      </c>
      <c r="D29" s="99">
        <f>C29</f>
        <v>45012</v>
      </c>
    </row>
    <row r="30" spans="2:16">
      <c r="C30" s="2">
        <v>45012.5</v>
      </c>
      <c r="D30" s="99">
        <f>C30</f>
        <v>45012.5</v>
      </c>
    </row>
    <row r="32" spans="2:16">
      <c r="B32" t="s">
        <v>697</v>
      </c>
    </row>
    <row r="33" spans="2:16">
      <c r="C33" s="95">
        <f ca="1">NOW()</f>
        <v>45921.698386689815</v>
      </c>
      <c r="D33" s="99">
        <f ca="1">NOW()</f>
        <v>45921.698386689815</v>
      </c>
      <c r="E33" s="123" t="str">
        <f t="shared" ref="E33" ca="1" si="5">_xlfn.FORMULATEXT(D33)</f>
        <v>=NOW()</v>
      </c>
    </row>
    <row r="35" spans="2:16" ht="14" thickBot="1">
      <c r="B35" s="14" t="s">
        <v>29</v>
      </c>
      <c r="C35" s="14"/>
      <c r="D35" s="14"/>
      <c r="E35" s="14"/>
      <c r="F35" s="14"/>
      <c r="G35" s="14"/>
      <c r="H35" s="14"/>
      <c r="I35" s="14"/>
      <c r="J35" s="14"/>
      <c r="K35" s="14"/>
      <c r="L35" s="14"/>
      <c r="M35" s="14"/>
      <c r="N35" s="14"/>
      <c r="O35" s="14"/>
      <c r="P35" s="14"/>
    </row>
    <row r="37" spans="2:16">
      <c r="B37" t="s">
        <v>696</v>
      </c>
      <c r="D37" t="s">
        <v>698</v>
      </c>
    </row>
    <row r="38" spans="2:16">
      <c r="B38" t="s">
        <v>661</v>
      </c>
      <c r="D38" t="s">
        <v>662</v>
      </c>
    </row>
    <row r="39" spans="2:16">
      <c r="B39" t="s">
        <v>663</v>
      </c>
      <c r="D39" t="s">
        <v>1218</v>
      </c>
    </row>
    <row r="40" spans="2:16">
      <c r="B40" t="s">
        <v>1207</v>
      </c>
      <c r="D40" t="s">
        <v>1221</v>
      </c>
    </row>
    <row r="41" spans="2:16">
      <c r="B41" t="s">
        <v>670</v>
      </c>
      <c r="D41" t="s">
        <v>671</v>
      </c>
    </row>
    <row r="42" spans="2:16">
      <c r="B42" t="s">
        <v>672</v>
      </c>
      <c r="D42" t="s">
        <v>673</v>
      </c>
    </row>
    <row r="43" spans="2:16">
      <c r="B43" t="s">
        <v>675</v>
      </c>
      <c r="D43" t="s">
        <v>676</v>
      </c>
    </row>
    <row r="44" spans="2:16">
      <c r="B44" t="s">
        <v>683</v>
      </c>
      <c r="D44" t="s">
        <v>684</v>
      </c>
    </row>
    <row r="45" spans="2:16">
      <c r="B45" t="s">
        <v>685</v>
      </c>
      <c r="D45" t="s">
        <v>686</v>
      </c>
    </row>
    <row r="47" spans="2:16" ht="14" thickBot="1">
      <c r="B47" s="14" t="s">
        <v>24</v>
      </c>
      <c r="C47" s="14"/>
      <c r="D47" s="14"/>
      <c r="E47" s="14"/>
      <c r="F47" s="14"/>
      <c r="G47" s="14"/>
      <c r="H47" s="14"/>
      <c r="I47" s="14"/>
      <c r="J47" s="14"/>
      <c r="K47" s="14"/>
      <c r="L47" s="14"/>
      <c r="M47" s="14"/>
      <c r="N47" s="14"/>
      <c r="O47" s="14"/>
      <c r="P47" s="14"/>
    </row>
    <row r="49" spans="2:16">
      <c r="B49" s="18" t="s">
        <v>1222</v>
      </c>
      <c r="E49" t="s">
        <v>1223</v>
      </c>
    </row>
    <row r="50" spans="2:16">
      <c r="B50" s="18" t="s">
        <v>678</v>
      </c>
    </row>
    <row r="51" spans="2:16">
      <c r="B51" s="18" t="s">
        <v>679</v>
      </c>
    </row>
    <row r="52" spans="2:16">
      <c r="B52" s="18" t="s">
        <v>688</v>
      </c>
    </row>
    <row r="53" spans="2:16">
      <c r="B53" s="18" t="s">
        <v>687</v>
      </c>
    </row>
    <row r="54" spans="2:16">
      <c r="B54" s="18" t="s">
        <v>689</v>
      </c>
    </row>
    <row r="56" spans="2:16" ht="14" thickBot="1">
      <c r="B56" s="14" t="s">
        <v>677</v>
      </c>
      <c r="C56" s="14"/>
      <c r="D56" s="14"/>
      <c r="E56" s="14"/>
      <c r="F56" s="14"/>
      <c r="G56" s="14"/>
      <c r="H56" s="14"/>
      <c r="I56" s="14"/>
      <c r="J56" s="14"/>
      <c r="K56" s="14"/>
      <c r="L56" s="14"/>
      <c r="M56" s="14"/>
      <c r="N56" s="14"/>
      <c r="O56" s="14"/>
      <c r="P56" s="14"/>
    </row>
    <row r="58" spans="2:16">
      <c r="B58" t="s">
        <v>694</v>
      </c>
      <c r="D58" s="2">
        <v>3</v>
      </c>
      <c r="F58" t="s">
        <v>1154</v>
      </c>
      <c r="H58" s="98">
        <v>43221</v>
      </c>
      <c r="J58" t="s">
        <v>1224</v>
      </c>
      <c r="L58" s="262">
        <v>43008</v>
      </c>
    </row>
    <row r="59" spans="2:16">
      <c r="B59" t="s">
        <v>695</v>
      </c>
      <c r="D59" s="2">
        <v>6</v>
      </c>
      <c r="F59" t="s">
        <v>1155</v>
      </c>
      <c r="H59" s="98">
        <v>43585</v>
      </c>
    </row>
    <row r="61" spans="2:16">
      <c r="B61" t="s">
        <v>652</v>
      </c>
      <c r="D61" s="262">
        <v>43101</v>
      </c>
      <c r="E61" s="259">
        <f>D62+1</f>
        <v>43191</v>
      </c>
      <c r="F61" s="259">
        <f t="shared" ref="F61:O61" si="6">E62+1</f>
        <v>43282</v>
      </c>
      <c r="G61" s="259">
        <f t="shared" si="6"/>
        <v>43374</v>
      </c>
      <c r="H61" s="259">
        <f t="shared" si="6"/>
        <v>43466</v>
      </c>
      <c r="I61" s="259">
        <f t="shared" si="6"/>
        <v>43556</v>
      </c>
      <c r="J61" s="259">
        <f t="shared" si="6"/>
        <v>43647</v>
      </c>
      <c r="K61" s="259">
        <f t="shared" si="6"/>
        <v>43739</v>
      </c>
      <c r="L61" s="259">
        <f t="shared" si="6"/>
        <v>43831</v>
      </c>
      <c r="M61" s="259">
        <f t="shared" si="6"/>
        <v>43922</v>
      </c>
      <c r="N61" s="259">
        <f t="shared" si="6"/>
        <v>44013</v>
      </c>
      <c r="O61" s="259">
        <f t="shared" si="6"/>
        <v>44105</v>
      </c>
      <c r="P61" s="123" t="str">
        <f t="shared" ref="P61:P69" ca="1" si="7">_xlfn.FORMULATEXT(O61)</f>
        <v>=N62+1</v>
      </c>
    </row>
    <row r="62" spans="2:16">
      <c r="B62" t="s">
        <v>653</v>
      </c>
      <c r="D62" s="259">
        <f>EOMONTH(D61,$D$58-1)</f>
        <v>43190</v>
      </c>
      <c r="E62" s="259">
        <f t="shared" ref="E62:O62" si="8">EOMONTH(E61,$D$58-1)</f>
        <v>43281</v>
      </c>
      <c r="F62" s="259">
        <f t="shared" si="8"/>
        <v>43373</v>
      </c>
      <c r="G62" s="259">
        <f t="shared" si="8"/>
        <v>43465</v>
      </c>
      <c r="H62" s="259">
        <f t="shared" si="8"/>
        <v>43555</v>
      </c>
      <c r="I62" s="259">
        <f t="shared" si="8"/>
        <v>43646</v>
      </c>
      <c r="J62" s="259">
        <f t="shared" si="8"/>
        <v>43738</v>
      </c>
      <c r="K62" s="259">
        <f t="shared" si="8"/>
        <v>43830</v>
      </c>
      <c r="L62" s="259">
        <f t="shared" si="8"/>
        <v>43921</v>
      </c>
      <c r="M62" s="259">
        <f t="shared" si="8"/>
        <v>44012</v>
      </c>
      <c r="N62" s="259">
        <f t="shared" si="8"/>
        <v>44104</v>
      </c>
      <c r="O62" s="259">
        <f t="shared" si="8"/>
        <v>44196</v>
      </c>
      <c r="P62" s="123" t="str">
        <f t="shared" ca="1" si="7"/>
        <v>=EOMONTH(O61,$D$58-1)</v>
      </c>
    </row>
    <row r="63" spans="2:16">
      <c r="B63" t="s">
        <v>1158</v>
      </c>
      <c r="D63" s="261">
        <f>MONTH(D62)</f>
        <v>3</v>
      </c>
      <c r="E63" s="261">
        <f t="shared" ref="E63:O63" si="9">MONTH(E62)</f>
        <v>6</v>
      </c>
      <c r="F63" s="261">
        <f t="shared" si="9"/>
        <v>9</v>
      </c>
      <c r="G63" s="261">
        <f t="shared" si="9"/>
        <v>12</v>
      </c>
      <c r="H63" s="261">
        <f t="shared" si="9"/>
        <v>3</v>
      </c>
      <c r="I63" s="261">
        <f t="shared" si="9"/>
        <v>6</v>
      </c>
      <c r="J63" s="261">
        <f t="shared" si="9"/>
        <v>9</v>
      </c>
      <c r="K63" s="261">
        <f t="shared" si="9"/>
        <v>12</v>
      </c>
      <c r="L63" s="261">
        <f t="shared" si="9"/>
        <v>3</v>
      </c>
      <c r="M63" s="261">
        <f t="shared" si="9"/>
        <v>6</v>
      </c>
      <c r="N63" s="261">
        <f t="shared" si="9"/>
        <v>9</v>
      </c>
      <c r="O63" s="261">
        <f t="shared" si="9"/>
        <v>12</v>
      </c>
      <c r="P63" s="123" t="str">
        <f t="shared" ca="1" si="7"/>
        <v>=MONTH(O62)</v>
      </c>
    </row>
    <row r="64" spans="2:16">
      <c r="B64" t="s">
        <v>654</v>
      </c>
      <c r="D64" s="261">
        <f>YEAR(D62)</f>
        <v>2018</v>
      </c>
      <c r="E64" s="261">
        <f t="shared" ref="E64:O64" si="10">YEAR(E62)</f>
        <v>2018</v>
      </c>
      <c r="F64" s="261">
        <f t="shared" si="10"/>
        <v>2018</v>
      </c>
      <c r="G64" s="261">
        <f t="shared" si="10"/>
        <v>2018</v>
      </c>
      <c r="H64" s="261">
        <f t="shared" si="10"/>
        <v>2019</v>
      </c>
      <c r="I64" s="261">
        <f t="shared" si="10"/>
        <v>2019</v>
      </c>
      <c r="J64" s="261">
        <f t="shared" si="10"/>
        <v>2019</v>
      </c>
      <c r="K64" s="261">
        <f t="shared" si="10"/>
        <v>2019</v>
      </c>
      <c r="L64" s="261">
        <f t="shared" si="10"/>
        <v>2020</v>
      </c>
      <c r="M64" s="261">
        <f t="shared" si="10"/>
        <v>2020</v>
      </c>
      <c r="N64" s="261">
        <f t="shared" si="10"/>
        <v>2020</v>
      </c>
      <c r="O64" s="261">
        <f t="shared" si="10"/>
        <v>2020</v>
      </c>
      <c r="P64" s="123" t="str">
        <f t="shared" ca="1" si="7"/>
        <v>=YEAR(O62)</v>
      </c>
    </row>
    <row r="65" spans="2:16">
      <c r="B65" t="s">
        <v>680</v>
      </c>
      <c r="D65" s="261">
        <f>D64*(D63&lt;=$D$59)+(D64+1)*(D63&gt;$D$59)</f>
        <v>2018</v>
      </c>
      <c r="E65" s="261">
        <f t="shared" ref="E65:O65" si="11">E64*(E63&lt;=$D$59)+(E64+1)*(E63&gt;$D$59)</f>
        <v>2018</v>
      </c>
      <c r="F65" s="261">
        <f t="shared" si="11"/>
        <v>2019</v>
      </c>
      <c r="G65" s="261">
        <f t="shared" si="11"/>
        <v>2019</v>
      </c>
      <c r="H65" s="261">
        <f t="shared" si="11"/>
        <v>2019</v>
      </c>
      <c r="I65" s="261">
        <f t="shared" si="11"/>
        <v>2019</v>
      </c>
      <c r="J65" s="261">
        <f t="shared" si="11"/>
        <v>2020</v>
      </c>
      <c r="K65" s="261">
        <f t="shared" si="11"/>
        <v>2020</v>
      </c>
      <c r="L65" s="261">
        <f t="shared" si="11"/>
        <v>2020</v>
      </c>
      <c r="M65" s="261">
        <f t="shared" si="11"/>
        <v>2020</v>
      </c>
      <c r="N65" s="261">
        <f t="shared" si="11"/>
        <v>2021</v>
      </c>
      <c r="O65" s="261">
        <f t="shared" si="11"/>
        <v>2021</v>
      </c>
      <c r="P65" s="123" t="str">
        <f t="shared" ca="1" si="7"/>
        <v>=O64*(O63&lt;=$D$59)+(O64+1)*(O63&gt;$D$59)</v>
      </c>
    </row>
    <row r="66" spans="2:16">
      <c r="B66" t="s">
        <v>655</v>
      </c>
      <c r="D66" s="261">
        <f>D62-D61+1</f>
        <v>90</v>
      </c>
      <c r="E66" s="261">
        <f t="shared" ref="E66:O66" si="12">E62-E61+1</f>
        <v>91</v>
      </c>
      <c r="F66" s="261">
        <f t="shared" si="12"/>
        <v>92</v>
      </c>
      <c r="G66" s="261">
        <f t="shared" si="12"/>
        <v>92</v>
      </c>
      <c r="H66" s="261">
        <f t="shared" si="12"/>
        <v>90</v>
      </c>
      <c r="I66" s="261">
        <f t="shared" si="12"/>
        <v>91</v>
      </c>
      <c r="J66" s="261">
        <f t="shared" si="12"/>
        <v>92</v>
      </c>
      <c r="K66" s="261">
        <f t="shared" si="12"/>
        <v>92</v>
      </c>
      <c r="L66" s="261">
        <f t="shared" si="12"/>
        <v>91</v>
      </c>
      <c r="M66" s="261">
        <f t="shared" si="12"/>
        <v>91</v>
      </c>
      <c r="N66" s="261">
        <f t="shared" si="12"/>
        <v>92</v>
      </c>
      <c r="O66" s="261">
        <f t="shared" si="12"/>
        <v>92</v>
      </c>
      <c r="P66" s="123" t="str">
        <f t="shared" ca="1" si="7"/>
        <v>=O62-O61+1</v>
      </c>
    </row>
    <row r="68" spans="2:16">
      <c r="B68" t="s">
        <v>1156</v>
      </c>
      <c r="D68" s="261">
        <f>(D62&gt;=$H$58)*(D61&lt;=$H$59)</f>
        <v>0</v>
      </c>
      <c r="E68" s="261">
        <f t="shared" ref="E68:O68" si="13">(E62&gt;=$H$58)*(E61&lt;=$H$59)</f>
        <v>1</v>
      </c>
      <c r="F68" s="261">
        <f t="shared" si="13"/>
        <v>1</v>
      </c>
      <c r="G68" s="261">
        <f t="shared" si="13"/>
        <v>1</v>
      </c>
      <c r="H68" s="261">
        <f t="shared" si="13"/>
        <v>1</v>
      </c>
      <c r="I68" s="261">
        <f t="shared" si="13"/>
        <v>1</v>
      </c>
      <c r="J68" s="261">
        <f t="shared" si="13"/>
        <v>0</v>
      </c>
      <c r="K68" s="261">
        <f t="shared" si="13"/>
        <v>0</v>
      </c>
      <c r="L68" s="261">
        <f t="shared" si="13"/>
        <v>0</v>
      </c>
      <c r="M68" s="261">
        <f t="shared" si="13"/>
        <v>0</v>
      </c>
      <c r="N68" s="261">
        <f t="shared" si="13"/>
        <v>0</v>
      </c>
      <c r="O68" s="261">
        <f t="shared" si="13"/>
        <v>0</v>
      </c>
      <c r="P68" s="123" t="str">
        <f t="shared" ca="1" si="7"/>
        <v>=(O62&gt;=$H$58)*(O61&lt;=$H$59)</v>
      </c>
    </row>
    <row r="69" spans="2:16">
      <c r="B69" t="s">
        <v>1157</v>
      </c>
      <c r="D69" s="261">
        <f>--(D62&gt;$H$59)</f>
        <v>0</v>
      </c>
      <c r="E69" s="261">
        <f t="shared" ref="E69:O69" si="14">--(E62&gt;$H$59)</f>
        <v>0</v>
      </c>
      <c r="F69" s="261">
        <f t="shared" si="14"/>
        <v>0</v>
      </c>
      <c r="G69" s="261">
        <f t="shared" si="14"/>
        <v>0</v>
      </c>
      <c r="H69" s="261">
        <f t="shared" si="14"/>
        <v>0</v>
      </c>
      <c r="I69" s="261">
        <f t="shared" si="14"/>
        <v>1</v>
      </c>
      <c r="J69" s="261">
        <f t="shared" si="14"/>
        <v>1</v>
      </c>
      <c r="K69" s="261">
        <f t="shared" si="14"/>
        <v>1</v>
      </c>
      <c r="L69" s="261">
        <f t="shared" si="14"/>
        <v>1</v>
      </c>
      <c r="M69" s="261">
        <f t="shared" si="14"/>
        <v>1</v>
      </c>
      <c r="N69" s="261">
        <f t="shared" si="14"/>
        <v>1</v>
      </c>
      <c r="O69" s="261">
        <f t="shared" si="14"/>
        <v>1</v>
      </c>
      <c r="P69" s="123" t="str">
        <f t="shared" ca="1" si="7"/>
        <v>=--(O62&gt;$H$59)</v>
      </c>
    </row>
    <row r="71" spans="2:16">
      <c r="B71" t="s">
        <v>1225</v>
      </c>
      <c r="D71" s="268">
        <f>YEARFRAC($L$58,D62,1)</f>
        <v>0.49863013698630138</v>
      </c>
      <c r="E71" s="268">
        <f t="shared" ref="E71:N71" si="15">YEARFRAC($L$58,E62,1)</f>
        <v>0.74794520547945209</v>
      </c>
      <c r="F71" s="268">
        <f t="shared" si="15"/>
        <v>1</v>
      </c>
      <c r="G71" s="268">
        <f t="shared" si="15"/>
        <v>1.252054794520548</v>
      </c>
      <c r="H71" s="268">
        <f t="shared" si="15"/>
        <v>1.4986301369863013</v>
      </c>
      <c r="I71" s="268">
        <f t="shared" si="15"/>
        <v>1.747945205479452</v>
      </c>
      <c r="J71" s="268">
        <f t="shared" si="15"/>
        <v>2</v>
      </c>
      <c r="K71" s="268">
        <f t="shared" si="15"/>
        <v>2.2520547945205478</v>
      </c>
      <c r="L71" s="268">
        <f t="shared" si="15"/>
        <v>2.4996577686516086</v>
      </c>
      <c r="M71" s="268">
        <f t="shared" si="15"/>
        <v>2.7488021902806299</v>
      </c>
      <c r="N71" s="268">
        <f t="shared" si="15"/>
        <v>3.0006844626967832</v>
      </c>
      <c r="O71" s="268">
        <f>YEARFRAC($L$58,O62,1)</f>
        <v>3.2525667351129361</v>
      </c>
    </row>
  </sheetData>
  <printOptions headings="1" gridLines="1"/>
  <pageMargins left="0.74803149606299213" right="0.74803149606299213" top="0.98425196850393704" bottom="0.98425196850393704" header="0.51181102362204722" footer="0.51181102362204722"/>
  <pageSetup paperSize="9" scale="51" fitToHeight="5" orientation="portrait" r:id="rId1"/>
  <headerFooter alignWithMargins="0">
    <oddHeader>&amp;LExcel Function Dictionary
© 1998 - 2000 Peter Noneley&amp;R&amp;A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5">
    <tabColor rgb="FF00B050"/>
    <pageSetUpPr fitToPage="1"/>
  </sheetPr>
  <dimension ref="A1:U82"/>
  <sheetViews>
    <sheetView showGridLines="0" zoomScale="90" zoomScaleNormal="90" workbookViewId="0">
      <pane ySplit="1" topLeftCell="A2" activePane="bottomLeft" state="frozen"/>
      <selection activeCell="K21" sqref="K21"/>
      <selection pane="bottomLeft" activeCell="T43" sqref="T43"/>
    </sheetView>
  </sheetViews>
  <sheetFormatPr baseColWidth="10" defaultColWidth="8.83203125" defaultRowHeight="13"/>
  <cols>
    <col min="1" max="1" width="2.83203125" customWidth="1"/>
    <col min="2" max="2" width="10.83203125" customWidth="1"/>
    <col min="3" max="3" width="9.83203125" customWidth="1"/>
    <col min="5" max="5" width="9.5" customWidth="1"/>
    <col min="6" max="6" width="9.83203125" customWidth="1"/>
    <col min="9" max="9" width="14.83203125" customWidth="1"/>
    <col min="10" max="10" width="2.83203125" customWidth="1"/>
    <col min="11" max="11" width="8.83203125" customWidth="1"/>
    <col min="12" max="12" width="10.5" customWidth="1"/>
    <col min="13" max="13" width="9.5" customWidth="1"/>
    <col min="14" max="14" width="10" customWidth="1"/>
    <col min="15" max="20" width="8.83203125" customWidth="1"/>
    <col min="21" max="21" width="22.1640625" customWidth="1"/>
  </cols>
  <sheetData>
    <row r="1" spans="1:21" ht="19" thickBot="1">
      <c r="A1" s="1" t="s">
        <v>117</v>
      </c>
      <c r="B1" s="1"/>
      <c r="C1" s="1"/>
      <c r="D1" s="1"/>
      <c r="E1" s="1"/>
      <c r="F1" s="1"/>
      <c r="G1" s="1"/>
    </row>
    <row r="2" spans="1:21" ht="14" thickTop="1"/>
    <row r="3" spans="1:21">
      <c r="C3" s="42" t="s">
        <v>118</v>
      </c>
      <c r="D3" s="42"/>
      <c r="E3" s="42"/>
      <c r="F3" s="42"/>
      <c r="G3" s="42"/>
    </row>
    <row r="5" spans="1:21">
      <c r="D5" s="19" t="s">
        <v>119</v>
      </c>
      <c r="E5" s="19"/>
      <c r="F5" s="19"/>
      <c r="G5" s="19"/>
    </row>
    <row r="6" spans="1:21">
      <c r="C6" s="43" t="s">
        <v>120</v>
      </c>
      <c r="D6" s="5">
        <v>1</v>
      </c>
      <c r="E6" s="5">
        <v>2</v>
      </c>
      <c r="F6" s="5">
        <v>3</v>
      </c>
      <c r="G6" s="5">
        <v>4</v>
      </c>
    </row>
    <row r="7" spans="1:21" ht="12" customHeight="1">
      <c r="C7" s="5">
        <v>1</v>
      </c>
      <c r="D7" s="78">
        <v>500</v>
      </c>
      <c r="E7" s="78">
        <v>300</v>
      </c>
      <c r="F7" s="78">
        <v>250</v>
      </c>
      <c r="G7" s="78">
        <v>200</v>
      </c>
    </row>
    <row r="8" spans="1:21">
      <c r="C8" s="5">
        <v>2</v>
      </c>
      <c r="D8" s="78">
        <v>600</v>
      </c>
      <c r="E8" s="78">
        <v>400</v>
      </c>
      <c r="F8" s="78">
        <v>300</v>
      </c>
      <c r="G8" s="78">
        <v>250</v>
      </c>
    </row>
    <row r="9" spans="1:21">
      <c r="C9" s="5">
        <v>3</v>
      </c>
      <c r="D9" s="78">
        <v>700</v>
      </c>
      <c r="E9" s="78">
        <v>500</v>
      </c>
      <c r="F9" s="78">
        <v>350</v>
      </c>
      <c r="G9" s="78">
        <v>300</v>
      </c>
    </row>
    <row r="11" spans="1:21">
      <c r="D11" s="16"/>
      <c r="E11" s="33"/>
      <c r="F11" s="17" t="s">
        <v>121</v>
      </c>
      <c r="G11" s="2">
        <v>2</v>
      </c>
    </row>
    <row r="12" spans="1:21">
      <c r="D12" s="16"/>
      <c r="E12" s="33"/>
      <c r="F12" s="17" t="s">
        <v>122</v>
      </c>
      <c r="G12" s="2">
        <v>4</v>
      </c>
    </row>
    <row r="14" spans="1:21">
      <c r="E14" s="16"/>
      <c r="F14" s="17" t="s">
        <v>123</v>
      </c>
      <c r="G14" s="3">
        <f>INDEX(D7:G9,G11,G12)</f>
        <v>250</v>
      </c>
      <c r="H14" s="123" t="str">
        <f ca="1">_xlfn.FORMULATEXT(G14)</f>
        <v>=@INDEX(D7:G9,G11,G12)</v>
      </c>
    </row>
    <row r="16" spans="1:21" ht="14" thickBot="1">
      <c r="B16" s="14" t="s">
        <v>29</v>
      </c>
      <c r="C16" s="14"/>
      <c r="D16" s="14"/>
      <c r="E16" s="14"/>
      <c r="F16" s="14"/>
      <c r="G16" s="14"/>
      <c r="H16" s="14"/>
      <c r="I16" s="14"/>
      <c r="J16" s="14"/>
      <c r="K16" s="14"/>
      <c r="L16" s="14"/>
      <c r="M16" s="14"/>
      <c r="N16" s="14"/>
      <c r="O16" s="14"/>
      <c r="P16" s="14"/>
      <c r="Q16" s="14"/>
      <c r="R16" s="14"/>
      <c r="S16" s="14"/>
      <c r="T16" s="14"/>
      <c r="U16" s="14"/>
    </row>
    <row r="17" spans="2:21">
      <c r="B17" t="s">
        <v>124</v>
      </c>
    </row>
    <row r="18" spans="2:21">
      <c r="B18" t="s">
        <v>125</v>
      </c>
    </row>
    <row r="19" spans="2:21">
      <c r="B19" t="s">
        <v>126</v>
      </c>
    </row>
    <row r="21" spans="2:21" ht="14" thickBot="1">
      <c r="B21" s="14" t="s">
        <v>24</v>
      </c>
      <c r="C21" s="14"/>
      <c r="D21" s="14"/>
      <c r="E21" s="14"/>
      <c r="F21" s="14"/>
      <c r="G21" s="14"/>
      <c r="H21" s="14"/>
      <c r="I21" s="14"/>
      <c r="K21" s="14" t="s">
        <v>1111</v>
      </c>
      <c r="L21" s="14"/>
      <c r="M21" s="14"/>
      <c r="N21" s="14"/>
      <c r="O21" s="14"/>
      <c r="P21" s="14"/>
      <c r="Q21" s="14"/>
      <c r="R21" s="14"/>
      <c r="S21" s="14"/>
      <c r="T21" s="14"/>
      <c r="U21" s="14"/>
    </row>
    <row r="22" spans="2:21">
      <c r="B22" t="s">
        <v>127</v>
      </c>
    </row>
    <row r="24" spans="2:21" ht="14" thickBot="1">
      <c r="B24" s="14" t="s">
        <v>128</v>
      </c>
      <c r="C24" s="14"/>
      <c r="D24" s="14"/>
      <c r="E24" s="14"/>
      <c r="F24" s="14"/>
      <c r="G24" s="14"/>
      <c r="H24" s="14"/>
      <c r="I24" s="14"/>
      <c r="K24" s="14" t="s">
        <v>32</v>
      </c>
      <c r="L24" s="14"/>
      <c r="M24" s="14"/>
      <c r="N24" s="14"/>
      <c r="O24" s="14"/>
      <c r="P24" s="14"/>
      <c r="Q24" s="14"/>
      <c r="R24" s="14"/>
      <c r="S24" s="14"/>
      <c r="T24" s="14"/>
      <c r="U24" s="14"/>
    </row>
    <row r="25" spans="2:21">
      <c r="B25" s="18" t="s">
        <v>129</v>
      </c>
      <c r="K25" t="s">
        <v>1116</v>
      </c>
    </row>
    <row r="26" spans="2:21">
      <c r="B26" t="s">
        <v>130</v>
      </c>
      <c r="K26" t="s">
        <v>1118</v>
      </c>
    </row>
    <row r="27" spans="2:21">
      <c r="B27" t="s">
        <v>1115</v>
      </c>
      <c r="K27" t="s">
        <v>1117</v>
      </c>
    </row>
    <row r="28" spans="2:21">
      <c r="B28" t="s">
        <v>131</v>
      </c>
      <c r="K28" t="s">
        <v>1123</v>
      </c>
    </row>
    <row r="29" spans="2:21">
      <c r="B29" t="s">
        <v>132</v>
      </c>
    </row>
    <row r="31" spans="2:21">
      <c r="D31" s="5" t="s">
        <v>133</v>
      </c>
      <c r="M31" s="5" t="s">
        <v>133</v>
      </c>
      <c r="N31" s="5" t="s">
        <v>625</v>
      </c>
    </row>
    <row r="32" spans="2:21">
      <c r="D32" s="2" t="s">
        <v>62</v>
      </c>
      <c r="M32" s="2" t="s">
        <v>62</v>
      </c>
      <c r="N32" s="2">
        <v>10</v>
      </c>
    </row>
    <row r="33" spans="2:21">
      <c r="D33" s="2" t="s">
        <v>38</v>
      </c>
      <c r="M33" s="2" t="s">
        <v>38</v>
      </c>
      <c r="N33" s="2">
        <v>5</v>
      </c>
    </row>
    <row r="34" spans="2:21">
      <c r="D34" s="2" t="s">
        <v>63</v>
      </c>
      <c r="F34" s="5" t="s">
        <v>134</v>
      </c>
      <c r="G34" s="2" t="s">
        <v>135</v>
      </c>
      <c r="H34" s="2" t="s">
        <v>136</v>
      </c>
      <c r="I34" s="2" t="s">
        <v>137</v>
      </c>
      <c r="M34" s="2" t="s">
        <v>63</v>
      </c>
      <c r="N34" s="2">
        <v>8</v>
      </c>
    </row>
    <row r="36" spans="2:21">
      <c r="B36" s="16"/>
      <c r="C36" s="32" t="s">
        <v>138</v>
      </c>
      <c r="D36" s="2">
        <v>3</v>
      </c>
      <c r="F36" s="16"/>
      <c r="G36" s="32" t="s">
        <v>138</v>
      </c>
      <c r="H36" s="2">
        <v>2</v>
      </c>
      <c r="K36" s="16" t="s">
        <v>1112</v>
      </c>
      <c r="L36" s="32"/>
      <c r="M36" s="2" t="s">
        <v>38</v>
      </c>
    </row>
    <row r="37" spans="2:21">
      <c r="B37" s="16"/>
      <c r="C37" s="32" t="s">
        <v>139</v>
      </c>
      <c r="D37" s="258" t="str">
        <f>INDEX(D32:D34,D36)</f>
        <v>Blue</v>
      </c>
      <c r="F37" s="16"/>
      <c r="G37" s="32" t="s">
        <v>140</v>
      </c>
      <c r="H37" s="258" t="str">
        <f>INDEX(G34:I34,H36)</f>
        <v>Medium</v>
      </c>
      <c r="K37" s="16" t="s">
        <v>1113</v>
      </c>
      <c r="L37" s="32"/>
      <c r="M37" s="258">
        <f>INDEX(N32:N34,MATCH(M36,M32:M34,0))</f>
        <v>5</v>
      </c>
      <c r="N37" s="123" t="str">
        <f ca="1">_xlfn.FORMULATEXT(M37)</f>
        <v>=INDEX(N32:N34,MATCH(M36,M32:M34,0))</v>
      </c>
    </row>
    <row r="38" spans="2:21">
      <c r="D38" s="20" t="str">
        <f ca="1">_xlfn.FORMULATEXT(D37)</f>
        <v>=@INDEX(D32:D34,D36)</v>
      </c>
      <c r="H38" s="20" t="str">
        <f ca="1">_xlfn.FORMULATEXT(H37)</f>
        <v>=@INDEX(G34:I34,H36)</v>
      </c>
    </row>
    <row r="40" spans="2:21" ht="14" thickBot="1">
      <c r="B40" s="14" t="s">
        <v>141</v>
      </c>
      <c r="C40" s="14"/>
      <c r="D40" s="14"/>
      <c r="E40" s="14"/>
      <c r="F40" s="14"/>
      <c r="G40" s="14"/>
      <c r="H40" s="14"/>
      <c r="I40" s="14"/>
      <c r="K40" s="14" t="s">
        <v>56</v>
      </c>
      <c r="L40" s="14"/>
      <c r="M40" s="14"/>
      <c r="N40" s="14"/>
      <c r="O40" s="14"/>
      <c r="P40" s="14"/>
      <c r="Q40" s="14"/>
      <c r="R40" s="14"/>
      <c r="S40" s="14"/>
      <c r="T40" s="14"/>
      <c r="U40" s="14"/>
    </row>
    <row r="41" spans="2:21">
      <c r="B41" s="18" t="s">
        <v>1197</v>
      </c>
    </row>
    <row r="42" spans="2:21">
      <c r="B42" t="s">
        <v>142</v>
      </c>
    </row>
    <row r="44" spans="2:21">
      <c r="C44" s="5" t="s">
        <v>143</v>
      </c>
      <c r="D44" s="5" t="s">
        <v>144</v>
      </c>
      <c r="E44" s="5" t="s">
        <v>145</v>
      </c>
      <c r="F44" s="5" t="s">
        <v>1153</v>
      </c>
      <c r="K44" s="5" t="s">
        <v>143</v>
      </c>
      <c r="L44" s="5" t="s">
        <v>144</v>
      </c>
      <c r="M44" s="5" t="s">
        <v>145</v>
      </c>
      <c r="N44" s="5" t="s">
        <v>1153</v>
      </c>
    </row>
    <row r="45" spans="2:21">
      <c r="C45" s="5" t="s">
        <v>146</v>
      </c>
      <c r="D45" s="2" t="s">
        <v>147</v>
      </c>
      <c r="E45" s="2" t="s">
        <v>148</v>
      </c>
      <c r="F45" s="2" t="s">
        <v>149</v>
      </c>
      <c r="K45" s="5" t="s">
        <v>146</v>
      </c>
      <c r="L45" s="2" t="s">
        <v>147</v>
      </c>
      <c r="M45" s="2" t="s">
        <v>148</v>
      </c>
      <c r="N45" s="2" t="s">
        <v>149</v>
      </c>
    </row>
    <row r="46" spans="2:21">
      <c r="C46" s="5" t="s">
        <v>150</v>
      </c>
      <c r="D46" s="2" t="s">
        <v>151</v>
      </c>
      <c r="E46" s="2" t="s">
        <v>152</v>
      </c>
      <c r="F46" s="2" t="s">
        <v>153</v>
      </c>
      <c r="K46" s="5" t="s">
        <v>150</v>
      </c>
      <c r="L46" s="2" t="s">
        <v>151</v>
      </c>
      <c r="M46" s="2" t="s">
        <v>152</v>
      </c>
      <c r="N46" s="2" t="s">
        <v>153</v>
      </c>
    </row>
    <row r="47" spans="2:21">
      <c r="C47" s="5" t="s">
        <v>154</v>
      </c>
      <c r="D47" s="2" t="s">
        <v>155</v>
      </c>
      <c r="E47" s="2" t="s">
        <v>156</v>
      </c>
      <c r="F47" s="2" t="s">
        <v>157</v>
      </c>
      <c r="K47" s="5" t="s">
        <v>154</v>
      </c>
      <c r="L47" s="2" t="s">
        <v>155</v>
      </c>
      <c r="M47" s="2" t="s">
        <v>156</v>
      </c>
      <c r="N47" s="2" t="s">
        <v>157</v>
      </c>
    </row>
    <row r="48" spans="2:21">
      <c r="C48" s="5" t="s">
        <v>158</v>
      </c>
      <c r="D48" s="2" t="s">
        <v>159</v>
      </c>
      <c r="E48" s="2" t="s">
        <v>160</v>
      </c>
      <c r="F48" s="2" t="s">
        <v>161</v>
      </c>
      <c r="K48" s="5" t="s">
        <v>158</v>
      </c>
      <c r="L48" s="2" t="s">
        <v>159</v>
      </c>
      <c r="M48" s="2" t="s">
        <v>160</v>
      </c>
      <c r="N48" s="2" t="s">
        <v>161</v>
      </c>
    </row>
    <row r="50" spans="2:18">
      <c r="C50" s="16"/>
      <c r="D50" s="33"/>
      <c r="E50" s="17" t="s">
        <v>162</v>
      </c>
      <c r="F50" s="2">
        <v>2</v>
      </c>
      <c r="K50" s="16"/>
      <c r="L50" s="33"/>
      <c r="M50" s="17" t="s">
        <v>1124</v>
      </c>
      <c r="N50" s="2" t="s">
        <v>146</v>
      </c>
    </row>
    <row r="51" spans="2:18">
      <c r="C51" s="16"/>
      <c r="D51" s="33"/>
      <c r="E51" s="17" t="s">
        <v>1114</v>
      </c>
      <c r="F51" s="2">
        <v>3</v>
      </c>
      <c r="K51" s="16"/>
      <c r="L51" s="33"/>
      <c r="M51" s="17" t="s">
        <v>1125</v>
      </c>
      <c r="N51" s="2" t="s">
        <v>145</v>
      </c>
    </row>
    <row r="53" spans="2:18">
      <c r="C53" s="16"/>
      <c r="D53" s="33"/>
      <c r="E53" s="17" t="s">
        <v>94</v>
      </c>
      <c r="F53" s="258" t="str">
        <f>INDEX(D45:F48,F50,F51)</f>
        <v>Paris</v>
      </c>
      <c r="G53" s="123" t="str">
        <f ca="1">_xlfn.FORMULATEXT(F53)</f>
        <v>=@INDEX(D45:F48,F50,F51)</v>
      </c>
      <c r="K53" s="16"/>
      <c r="L53" s="33"/>
      <c r="M53" s="17" t="s">
        <v>94</v>
      </c>
      <c r="N53" s="258" t="str">
        <f>INDEX(L45:N48,MATCH(N50,K45:K48,0),MATCH(N51,L44:N44,0))</f>
        <v>50 M</v>
      </c>
      <c r="O53" s="123" t="str">
        <f ca="1">_xlfn.FORMULATEXT(N53)</f>
        <v>=INDEX(L45:N48,MATCH(N50,K45:K48,0),MATCH(N51,L44:N44,0))</v>
      </c>
    </row>
    <row r="56" spans="2:18" ht="14" thickBot="1">
      <c r="B56" s="14" t="s">
        <v>163</v>
      </c>
      <c r="C56" s="14"/>
      <c r="D56" s="14"/>
      <c r="E56" s="14"/>
      <c r="F56" s="14"/>
      <c r="G56" s="14"/>
      <c r="H56" s="14"/>
      <c r="I56" s="14"/>
      <c r="K56" s="14" t="s">
        <v>25</v>
      </c>
      <c r="L56" s="14"/>
      <c r="M56" s="14"/>
      <c r="N56" s="14"/>
      <c r="O56" s="14"/>
      <c r="P56" s="14"/>
      <c r="Q56" s="14"/>
      <c r="R56" s="14"/>
    </row>
    <row r="57" spans="2:18">
      <c r="B57" s="18" t="s">
        <v>1126</v>
      </c>
      <c r="K57" t="s">
        <v>1119</v>
      </c>
    </row>
    <row r="58" spans="2:18">
      <c r="B58" t="s">
        <v>164</v>
      </c>
      <c r="K58" t="s">
        <v>178</v>
      </c>
    </row>
    <row r="59" spans="2:18">
      <c r="B59" t="s">
        <v>165</v>
      </c>
      <c r="K59" t="s">
        <v>179</v>
      </c>
    </row>
    <row r="60" spans="2:18">
      <c r="B60" s="18"/>
      <c r="K60" t="s">
        <v>180</v>
      </c>
    </row>
    <row r="61" spans="2:18">
      <c r="B61" t="s">
        <v>166</v>
      </c>
    </row>
    <row r="62" spans="2:18">
      <c r="B62" s="18"/>
    </row>
    <row r="63" spans="2:18">
      <c r="B63" t="s">
        <v>167</v>
      </c>
    </row>
    <row r="64" spans="2:18">
      <c r="B64" t="s">
        <v>168</v>
      </c>
    </row>
    <row r="66" spans="3:18" ht="14" thickBot="1">
      <c r="C66" s="23" t="s">
        <v>169</v>
      </c>
      <c r="D66" s="5" t="s">
        <v>170</v>
      </c>
      <c r="E66" s="5" t="s">
        <v>171</v>
      </c>
      <c r="F66" s="5" t="s">
        <v>172</v>
      </c>
      <c r="G66" s="5" t="s">
        <v>173</v>
      </c>
      <c r="L66" s="44" t="s">
        <v>181</v>
      </c>
      <c r="M66" s="45" t="s">
        <v>170</v>
      </c>
      <c r="N66" s="45" t="s">
        <v>171</v>
      </c>
      <c r="O66" s="45" t="s">
        <v>172</v>
      </c>
      <c r="P66" s="45" t="s">
        <v>173</v>
      </c>
    </row>
    <row r="67" spans="3:18">
      <c r="C67" s="5" t="s">
        <v>58</v>
      </c>
      <c r="D67" s="78">
        <v>1000</v>
      </c>
      <c r="E67" s="78">
        <v>2000</v>
      </c>
      <c r="F67" s="78">
        <v>3000</v>
      </c>
      <c r="G67" s="78">
        <v>4000</v>
      </c>
      <c r="L67" s="46" t="s">
        <v>58</v>
      </c>
      <c r="M67" s="79">
        <v>1000</v>
      </c>
      <c r="N67" s="80">
        <v>2000</v>
      </c>
      <c r="O67" s="80">
        <v>3000</v>
      </c>
      <c r="P67" s="81">
        <v>4000</v>
      </c>
    </row>
    <row r="68" spans="3:18">
      <c r="C68" s="5" t="s">
        <v>59</v>
      </c>
      <c r="D68" s="78">
        <v>5000</v>
      </c>
      <c r="E68" s="78">
        <v>6000</v>
      </c>
      <c r="F68" s="78">
        <v>7000</v>
      </c>
      <c r="G68" s="78">
        <v>8000</v>
      </c>
      <c r="L68" s="46" t="s">
        <v>59</v>
      </c>
      <c r="M68" s="82">
        <v>5000</v>
      </c>
      <c r="N68" s="78">
        <v>6000</v>
      </c>
      <c r="O68" s="78">
        <v>7000</v>
      </c>
      <c r="P68" s="83">
        <v>8000</v>
      </c>
    </row>
    <row r="69" spans="3:18" ht="14" thickBot="1">
      <c r="C69" s="5" t="s">
        <v>76</v>
      </c>
      <c r="D69" s="78">
        <v>9000</v>
      </c>
      <c r="E69" s="78">
        <v>10000</v>
      </c>
      <c r="F69" s="78">
        <v>11000</v>
      </c>
      <c r="G69" s="78">
        <v>12000</v>
      </c>
      <c r="L69" s="46" t="s">
        <v>76</v>
      </c>
      <c r="M69" s="84">
        <v>9000</v>
      </c>
      <c r="N69" s="85">
        <v>10000</v>
      </c>
      <c r="O69" s="85">
        <v>11000</v>
      </c>
      <c r="P69" s="86">
        <v>12000</v>
      </c>
    </row>
    <row r="71" spans="3:18" ht="14" thickBot="1">
      <c r="C71" s="23" t="s">
        <v>174</v>
      </c>
      <c r="D71" s="5" t="s">
        <v>170</v>
      </c>
      <c r="E71" s="5" t="s">
        <v>171</v>
      </c>
      <c r="F71" s="5" t="s">
        <v>172</v>
      </c>
      <c r="G71" s="5" t="s">
        <v>173</v>
      </c>
      <c r="L71" s="44" t="s">
        <v>182</v>
      </c>
      <c r="M71" s="5" t="s">
        <v>170</v>
      </c>
      <c r="N71" s="5" t="s">
        <v>171</v>
      </c>
      <c r="O71" s="5" t="s">
        <v>172</v>
      </c>
      <c r="P71" s="5" t="s">
        <v>173</v>
      </c>
    </row>
    <row r="72" spans="3:18">
      <c r="C72" s="5" t="s">
        <v>58</v>
      </c>
      <c r="D72" s="78">
        <v>1500</v>
      </c>
      <c r="E72" s="78">
        <v>2500</v>
      </c>
      <c r="F72" s="78">
        <v>3500</v>
      </c>
      <c r="G72" s="78">
        <v>4500</v>
      </c>
      <c r="L72" s="5" t="s">
        <v>58</v>
      </c>
      <c r="M72" s="79">
        <v>1500</v>
      </c>
      <c r="N72" s="80">
        <v>2500</v>
      </c>
      <c r="O72" s="80">
        <v>3500</v>
      </c>
      <c r="P72" s="81">
        <v>4500</v>
      </c>
    </row>
    <row r="73" spans="3:18">
      <c r="C73" s="5" t="s">
        <v>59</v>
      </c>
      <c r="D73" s="78">
        <v>5500</v>
      </c>
      <c r="E73" s="78">
        <v>6500</v>
      </c>
      <c r="F73" s="78">
        <v>7500</v>
      </c>
      <c r="G73" s="78">
        <v>8500</v>
      </c>
      <c r="L73" s="5" t="s">
        <v>59</v>
      </c>
      <c r="M73" s="82">
        <v>5500</v>
      </c>
      <c r="N73" s="78">
        <v>6500</v>
      </c>
      <c r="O73" s="78">
        <v>7500</v>
      </c>
      <c r="P73" s="83">
        <v>8500</v>
      </c>
    </row>
    <row r="74" spans="3:18" ht="14" thickBot="1">
      <c r="C74" s="5" t="s">
        <v>76</v>
      </c>
      <c r="D74" s="78">
        <v>9500</v>
      </c>
      <c r="E74" s="78">
        <v>10500</v>
      </c>
      <c r="F74" s="78">
        <v>11500</v>
      </c>
      <c r="G74" s="78">
        <v>12500</v>
      </c>
      <c r="L74" s="5" t="s">
        <v>76</v>
      </c>
      <c r="M74" s="84">
        <v>9500</v>
      </c>
      <c r="N74" s="85">
        <v>10500</v>
      </c>
      <c r="O74" s="85">
        <v>11500</v>
      </c>
      <c r="P74" s="86">
        <v>12500</v>
      </c>
    </row>
    <row r="76" spans="3:18">
      <c r="C76" s="16"/>
      <c r="D76" s="33"/>
      <c r="E76" s="17" t="s">
        <v>175</v>
      </c>
      <c r="F76" s="2">
        <v>1</v>
      </c>
      <c r="L76" s="16"/>
      <c r="M76" s="33"/>
      <c r="N76" s="17" t="s">
        <v>1120</v>
      </c>
      <c r="O76" s="47" t="s">
        <v>58</v>
      </c>
    </row>
    <row r="77" spans="3:18">
      <c r="C77" s="16"/>
      <c r="D77" s="33"/>
      <c r="E77" s="17" t="s">
        <v>176</v>
      </c>
      <c r="F77" s="2">
        <v>3</v>
      </c>
      <c r="L77" s="16"/>
      <c r="M77" s="33"/>
      <c r="N77" s="17" t="s">
        <v>1121</v>
      </c>
      <c r="O77" s="48" t="s">
        <v>172</v>
      </c>
    </row>
    <row r="78" spans="3:18">
      <c r="C78" s="16"/>
      <c r="D78" s="33"/>
      <c r="E78" s="17" t="s">
        <v>177</v>
      </c>
      <c r="F78" s="2">
        <v>2</v>
      </c>
      <c r="L78" s="16"/>
      <c r="M78" s="33"/>
      <c r="N78" s="17" t="s">
        <v>1122</v>
      </c>
      <c r="O78" s="49" t="s">
        <v>182</v>
      </c>
      <c r="Q78" s="241" t="str">
        <f>L66</f>
        <v>EAST</v>
      </c>
      <c r="R78" s="241" t="str">
        <f>L71</f>
        <v>WEST</v>
      </c>
    </row>
    <row r="80" spans="3:18">
      <c r="D80" s="16"/>
      <c r="E80" s="17" t="s">
        <v>94</v>
      </c>
      <c r="F80" s="77">
        <f>INDEX(NorthAndSouth,F76,F77,F78)</f>
        <v>3500</v>
      </c>
      <c r="G80" s="123" t="str">
        <f ca="1">_xlfn.FORMULATEXT(F80)</f>
        <v>=@INDEX(NorthAndSouth,F76,F77,F78)</v>
      </c>
      <c r="M80" s="16"/>
      <c r="N80" s="17" t="s">
        <v>94</v>
      </c>
      <c r="O80" s="77">
        <f>INDEX(EastAndWest,MATCH(O76,L67:L69,0),MATCH(O77,M66:P66,0),MATCH(O78,Q78:R78,0))</f>
        <v>3500</v>
      </c>
    </row>
    <row r="82" spans="11:11">
      <c r="K82" s="71" t="s">
        <v>1152</v>
      </c>
    </row>
  </sheetData>
  <dataValidations disablePrompts="1" count="6">
    <dataValidation type="list" allowBlank="1" showInputMessage="1" showErrorMessage="1" sqref="O76" xr:uid="{00000000-0002-0000-1000-000000000000}">
      <formula1>$L$67:$L$69</formula1>
    </dataValidation>
    <dataValidation type="list" allowBlank="1" showInputMessage="1" showErrorMessage="1" sqref="O77" xr:uid="{00000000-0002-0000-1000-000001000000}">
      <formula1>$M$66:$P$66</formula1>
    </dataValidation>
    <dataValidation type="list" allowBlank="1" showInputMessage="1" showErrorMessage="1" sqref="O78" xr:uid="{00000000-0002-0000-1000-000002000000}">
      <formula1>$Q$78:$R$78</formula1>
    </dataValidation>
    <dataValidation type="list" allowBlank="1" showInputMessage="1" showErrorMessage="1" sqref="M36" xr:uid="{00000000-0002-0000-1000-000003000000}">
      <formula1>$M$32:$M$34</formula1>
    </dataValidation>
    <dataValidation type="list" allowBlank="1" showInputMessage="1" showErrorMessage="1" sqref="N50" xr:uid="{00000000-0002-0000-1000-000004000000}">
      <formula1>$K$45:$K$48</formula1>
    </dataValidation>
    <dataValidation type="list" allowBlank="1" showInputMessage="1" showErrorMessage="1" sqref="N51" xr:uid="{00000000-0002-0000-1000-000005000000}">
      <formula1>$L$44:$N$44</formula1>
    </dataValidation>
  </dataValidations>
  <printOptions headings="1" gridLines="1"/>
  <pageMargins left="0.74803149606299213" right="0.74803149606299213" top="0.98425196850393704" bottom="0.98425196850393704" header="0.51181102362204722" footer="0.51181102362204722"/>
  <pageSetup paperSize="9" scale="43" fitToHeight="5" orientation="portrait" r:id="rId1"/>
  <headerFooter alignWithMargins="0">
    <oddHeader>&amp;LExcel Function Dictionary
© 1998 - 2000 Peter Noneley&amp;R&amp;A
Page &amp;P of &amp;N</oddHeader>
  </headerFooter>
  <rowBreaks count="2" manualBreakCount="2">
    <brk id="38" max="65535" man="1"/>
    <brk id="82"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7">
    <tabColor rgb="FF00B050"/>
    <pageSetUpPr fitToPage="1"/>
  </sheetPr>
  <dimension ref="A1:X160"/>
  <sheetViews>
    <sheetView showGridLines="0" zoomScale="90" zoomScaleNormal="90" workbookViewId="0">
      <pane ySplit="1" topLeftCell="A2" activePane="bottomLeft" state="frozen"/>
      <selection activeCell="K21" sqref="K21"/>
      <selection pane="bottomLeft" activeCell="L31" sqref="L30:L31"/>
    </sheetView>
  </sheetViews>
  <sheetFormatPr baseColWidth="10" defaultColWidth="8.83203125" defaultRowHeight="13"/>
  <cols>
    <col min="1" max="1" width="2.83203125" customWidth="1"/>
    <col min="2" max="2" width="3.1640625" customWidth="1"/>
    <col min="3" max="3" width="12.1640625" customWidth="1"/>
    <col min="4" max="4" width="13.33203125" customWidth="1"/>
    <col min="5" max="5" width="12.1640625" customWidth="1"/>
    <col min="6" max="6" width="9" customWidth="1"/>
    <col min="7" max="7" width="13" customWidth="1"/>
    <col min="8" max="8" width="10.5" customWidth="1"/>
    <col min="9" max="9" width="10.83203125" customWidth="1"/>
    <col min="10" max="10" width="8.5" customWidth="1"/>
  </cols>
  <sheetData>
    <row r="1" spans="1:24" ht="19" thickBot="1">
      <c r="A1" s="1" t="s">
        <v>189</v>
      </c>
      <c r="B1" s="1"/>
      <c r="C1" s="1"/>
      <c r="D1" s="1"/>
      <c r="E1" s="1"/>
      <c r="F1" s="1"/>
      <c r="G1" s="1"/>
      <c r="H1" s="1"/>
      <c r="I1" s="1"/>
      <c r="J1" s="1"/>
      <c r="K1" s="1"/>
      <c r="L1" s="1"/>
      <c r="M1" s="1"/>
      <c r="N1" s="1"/>
      <c r="O1" s="1"/>
      <c r="P1" s="1"/>
      <c r="Q1" s="1"/>
      <c r="R1" s="1"/>
      <c r="S1" s="1"/>
      <c r="T1" s="1"/>
      <c r="U1" s="1"/>
      <c r="V1" s="1"/>
      <c r="W1" s="1"/>
      <c r="X1" s="1"/>
    </row>
    <row r="2" spans="1:24" ht="14" thickTop="1"/>
    <row r="3" spans="1:24">
      <c r="E3" s="5" t="s">
        <v>190</v>
      </c>
      <c r="I3" s="5" t="s">
        <v>188</v>
      </c>
    </row>
    <row r="4" spans="1:24">
      <c r="E4" s="2" t="s">
        <v>35</v>
      </c>
      <c r="I4" s="2">
        <v>250</v>
      </c>
    </row>
    <row r="5" spans="1:24">
      <c r="E5" s="2" t="s">
        <v>34</v>
      </c>
      <c r="I5" s="2">
        <v>600</v>
      </c>
    </row>
    <row r="6" spans="1:24">
      <c r="E6" s="2" t="s">
        <v>37</v>
      </c>
      <c r="I6" s="2">
        <v>1000</v>
      </c>
    </row>
    <row r="7" spans="1:24">
      <c r="E7" s="2" t="s">
        <v>36</v>
      </c>
      <c r="I7" s="2">
        <v>4000</v>
      </c>
    </row>
    <row r="9" spans="1:24">
      <c r="B9" s="16"/>
      <c r="C9" s="33"/>
      <c r="D9" s="32" t="s">
        <v>95</v>
      </c>
      <c r="E9" s="2" t="s">
        <v>34</v>
      </c>
      <c r="G9" s="16"/>
      <c r="H9" s="32" t="s">
        <v>191</v>
      </c>
      <c r="I9" s="2">
        <v>1000</v>
      </c>
    </row>
    <row r="11" spans="1:24">
      <c r="B11" s="16"/>
      <c r="C11" s="33"/>
      <c r="D11" s="32" t="str">
        <f>"The position of "&amp;E9&amp;" is : "</f>
        <v xml:space="preserve">The position of Alan is : </v>
      </c>
      <c r="E11" s="3">
        <f>MATCH(E9,E4:E7,0)</f>
        <v>2</v>
      </c>
      <c r="G11" s="16"/>
      <c r="H11" s="32" t="s">
        <v>192</v>
      </c>
      <c r="I11" s="3">
        <f>MATCH(I9,I4:I7,1)</f>
        <v>3</v>
      </c>
    </row>
    <row r="12" spans="1:24">
      <c r="E12" s="123" t="str">
        <f ca="1">_xlfn.FORMULATEXT(E11)</f>
        <v>=MATCH(E9,E4:E7,0)</v>
      </c>
      <c r="I12" s="123" t="str">
        <f ca="1">_xlfn.FORMULATEXT(I11)</f>
        <v>=MATCH(I9,I4:I7,1)</v>
      </c>
    </row>
    <row r="14" spans="1:24" ht="14" thickBot="1">
      <c r="B14" s="14" t="s">
        <v>29</v>
      </c>
      <c r="C14" s="14"/>
      <c r="D14" s="14"/>
      <c r="E14" s="14"/>
      <c r="F14" s="14"/>
      <c r="G14" s="14"/>
      <c r="H14" s="14"/>
      <c r="I14" s="14"/>
      <c r="J14" s="14"/>
      <c r="K14" s="14"/>
      <c r="L14" s="14"/>
      <c r="M14" s="14"/>
      <c r="N14" s="14"/>
      <c r="O14" s="14"/>
      <c r="P14" s="14"/>
      <c r="Q14" s="14"/>
      <c r="R14" s="14"/>
      <c r="S14" s="14"/>
      <c r="T14" s="14"/>
      <c r="U14" s="14"/>
      <c r="V14" s="14"/>
      <c r="W14" s="14"/>
      <c r="X14" s="14"/>
    </row>
    <row r="15" spans="1:24">
      <c r="B15" t="s">
        <v>193</v>
      </c>
    </row>
    <row r="16" spans="1:24">
      <c r="B16" t="s">
        <v>194</v>
      </c>
    </row>
    <row r="17" spans="2:24">
      <c r="B17" t="s">
        <v>195</v>
      </c>
    </row>
    <row r="19" spans="2:24" ht="14" thickBot="1">
      <c r="B19" s="14" t="s">
        <v>24</v>
      </c>
      <c r="C19" s="14"/>
      <c r="D19" s="14"/>
      <c r="E19" s="14"/>
      <c r="F19" s="14"/>
      <c r="G19" s="14"/>
      <c r="H19" s="14"/>
      <c r="I19" s="14"/>
      <c r="J19" s="14"/>
      <c r="K19" s="14"/>
      <c r="L19" s="14"/>
      <c r="M19" s="14"/>
      <c r="N19" s="14"/>
      <c r="O19" s="14"/>
      <c r="P19" s="14"/>
      <c r="Q19" s="14"/>
      <c r="R19" s="14"/>
      <c r="S19" s="14"/>
      <c r="T19" s="14"/>
      <c r="U19" s="14"/>
      <c r="V19" s="14"/>
      <c r="W19" s="14"/>
      <c r="X19" s="14"/>
    </row>
    <row r="20" spans="2:24">
      <c r="B20" s="18" t="s">
        <v>196</v>
      </c>
    </row>
    <row r="21" spans="2:24">
      <c r="B21" t="s">
        <v>197</v>
      </c>
    </row>
    <row r="23" spans="2:24">
      <c r="B23" t="s">
        <v>198</v>
      </c>
    </row>
    <row r="25" spans="2:24">
      <c r="B25" t="s">
        <v>199</v>
      </c>
    </row>
    <row r="26" spans="2:24">
      <c r="B26" t="s">
        <v>200</v>
      </c>
    </row>
    <row r="27" spans="2:24">
      <c r="B27" t="s">
        <v>201</v>
      </c>
    </row>
    <row r="29" spans="2:24">
      <c r="B29" t="s">
        <v>202</v>
      </c>
    </row>
    <row r="30" spans="2:24">
      <c r="B30" t="s">
        <v>203</v>
      </c>
    </row>
    <row r="31" spans="2:24">
      <c r="B31" t="s">
        <v>204</v>
      </c>
    </row>
    <row r="33" spans="2:24">
      <c r="B33" t="s">
        <v>1206</v>
      </c>
    </row>
    <row r="35" spans="2:24" ht="14" thickBot="1">
      <c r="B35" s="14" t="s">
        <v>32</v>
      </c>
      <c r="C35" s="14"/>
      <c r="D35" s="14"/>
      <c r="E35" s="14"/>
      <c r="F35" s="14"/>
      <c r="G35" s="14"/>
      <c r="H35" s="14"/>
      <c r="I35" s="14"/>
      <c r="J35" s="14"/>
      <c r="K35" s="14"/>
      <c r="L35" s="14"/>
      <c r="M35" s="14"/>
      <c r="N35" s="14"/>
      <c r="O35" s="14"/>
      <c r="P35" s="14"/>
      <c r="Q35" s="14"/>
      <c r="R35" s="14"/>
      <c r="S35" s="14"/>
      <c r="T35" s="14"/>
      <c r="U35" s="14"/>
      <c r="V35" s="14"/>
      <c r="W35" s="14"/>
      <c r="X35" s="14"/>
    </row>
    <row r="36" spans="2:24">
      <c r="B36" t="s">
        <v>205</v>
      </c>
    </row>
    <row r="37" spans="2:24">
      <c r="B37" t="s">
        <v>206</v>
      </c>
    </row>
    <row r="38" spans="2:24">
      <c r="B38" t="s">
        <v>207</v>
      </c>
    </row>
    <row r="39" spans="2:24">
      <c r="B39" s="71" t="s">
        <v>1198</v>
      </c>
    </row>
    <row r="40" spans="2:24" ht="14" thickBot="1"/>
    <row r="41" spans="2:24" ht="14" thickTop="1">
      <c r="C41" s="5" t="s">
        <v>208</v>
      </c>
      <c r="E41" s="5" t="s">
        <v>209</v>
      </c>
      <c r="G41" s="51" t="s">
        <v>210</v>
      </c>
    </row>
    <row r="42" spans="2:24">
      <c r="C42" s="100">
        <v>10</v>
      </c>
      <c r="E42" s="100">
        <v>40</v>
      </c>
      <c r="G42" s="102">
        <v>10</v>
      </c>
    </row>
    <row r="43" spans="2:24">
      <c r="C43" s="100">
        <v>20</v>
      </c>
      <c r="E43" s="100">
        <v>30</v>
      </c>
      <c r="G43" s="102">
        <v>20</v>
      </c>
    </row>
    <row r="44" spans="2:24">
      <c r="C44" s="100">
        <v>30</v>
      </c>
      <c r="E44" s="100">
        <v>20</v>
      </c>
      <c r="G44" s="102">
        <v>30</v>
      </c>
    </row>
    <row r="45" spans="2:24">
      <c r="C45" s="100">
        <v>40</v>
      </c>
      <c r="E45" s="100">
        <v>10</v>
      </c>
      <c r="G45" s="102">
        <v>40</v>
      </c>
    </row>
    <row r="46" spans="2:24">
      <c r="G46" s="50"/>
    </row>
    <row r="47" spans="2:24">
      <c r="C47" s="100">
        <v>20</v>
      </c>
      <c r="E47" s="100">
        <v>20</v>
      </c>
      <c r="G47" s="102">
        <v>25</v>
      </c>
    </row>
    <row r="48" spans="2:24" ht="14" thickBot="1">
      <c r="C48" s="101">
        <f>MATCH(C47,C42:C45,0)</f>
        <v>2</v>
      </c>
      <c r="E48" s="101">
        <f>MATCH(E47,E42:E45,0)</f>
        <v>3</v>
      </c>
      <c r="G48" s="103" t="e">
        <f>MATCH(G47,G42:G45,0)</f>
        <v>#N/A</v>
      </c>
    </row>
    <row r="49" spans="2:24" ht="14" thickTop="1">
      <c r="C49" s="123" t="str">
        <f ca="1">_xlfn.FORMULATEXT(C48)</f>
        <v>=MATCH(C47,C42:C45,0)</v>
      </c>
      <c r="E49" s="123"/>
    </row>
    <row r="50" spans="2:24">
      <c r="C50" s="36"/>
    </row>
    <row r="52" spans="2:24" ht="14" thickBot="1">
      <c r="B52" s="14" t="s">
        <v>56</v>
      </c>
      <c r="C52" s="14"/>
      <c r="D52" s="14"/>
      <c r="E52" s="14"/>
      <c r="F52" s="14"/>
      <c r="G52" s="14"/>
      <c r="H52" s="14"/>
      <c r="I52" s="14"/>
      <c r="J52" s="14"/>
      <c r="K52" s="14"/>
      <c r="L52" s="14"/>
      <c r="M52" s="14"/>
      <c r="N52" s="14"/>
      <c r="O52" s="14"/>
      <c r="P52" s="14"/>
      <c r="Q52" s="14"/>
      <c r="R52" s="14"/>
      <c r="S52" s="14"/>
      <c r="T52" s="14"/>
      <c r="U52" s="14"/>
      <c r="V52" s="14"/>
      <c r="W52" s="14"/>
      <c r="X52" s="14"/>
    </row>
    <row r="53" spans="2:24">
      <c r="B53" t="s">
        <v>211</v>
      </c>
    </row>
    <row r="54" spans="2:24">
      <c r="B54" t="s">
        <v>206</v>
      </c>
    </row>
    <row r="55" spans="2:24">
      <c r="B55" s="71" t="s">
        <v>1199</v>
      </c>
    </row>
    <row r="56" spans="2:24">
      <c r="B56" t="s">
        <v>212</v>
      </c>
    </row>
    <row r="57" spans="2:24" ht="14" thickBot="1"/>
    <row r="58" spans="2:24" ht="14" thickTop="1">
      <c r="C58" s="5" t="s">
        <v>208</v>
      </c>
      <c r="E58" s="51" t="s">
        <v>209</v>
      </c>
      <c r="G58" s="5" t="s">
        <v>210</v>
      </c>
    </row>
    <row r="59" spans="2:24">
      <c r="C59" s="100">
        <v>10</v>
      </c>
      <c r="E59" s="102">
        <v>40</v>
      </c>
      <c r="G59" s="100">
        <v>10</v>
      </c>
    </row>
    <row r="60" spans="2:24">
      <c r="C60" s="100">
        <v>20</v>
      </c>
      <c r="E60" s="102">
        <v>30</v>
      </c>
      <c r="G60" s="100">
        <v>20</v>
      </c>
    </row>
    <row r="61" spans="2:24">
      <c r="C61" s="100">
        <v>30</v>
      </c>
      <c r="E61" s="102">
        <v>20</v>
      </c>
      <c r="G61" s="100">
        <v>30</v>
      </c>
    </row>
    <row r="62" spans="2:24">
      <c r="C62" s="100">
        <v>40</v>
      </c>
      <c r="E62" s="102">
        <v>10</v>
      </c>
      <c r="G62" s="100">
        <v>40</v>
      </c>
    </row>
    <row r="63" spans="2:24">
      <c r="E63" s="50"/>
    </row>
    <row r="64" spans="2:24">
      <c r="C64" s="100">
        <v>20</v>
      </c>
      <c r="E64" s="102">
        <v>20</v>
      </c>
      <c r="G64" s="100">
        <v>25</v>
      </c>
    </row>
    <row r="65" spans="2:24" ht="14" thickBot="1">
      <c r="C65" s="101">
        <f>MATCH(C64,C59:C62,1)</f>
        <v>2</v>
      </c>
      <c r="E65" s="103" t="e">
        <f>MATCH(E64,E59:E62,1)</f>
        <v>#N/A</v>
      </c>
      <c r="G65" s="101">
        <f>MATCH(G64,G59:G62,1)</f>
        <v>2</v>
      </c>
    </row>
    <row r="66" spans="2:24" ht="14" thickTop="1">
      <c r="G66" s="123" t="str">
        <f ca="1">_xlfn.FORMULATEXT(G65)</f>
        <v>=MATCH(G64,G59:G62,1)</v>
      </c>
    </row>
    <row r="69" spans="2:24" ht="14" thickBot="1">
      <c r="B69" s="14" t="s">
        <v>61</v>
      </c>
      <c r="C69" s="14"/>
      <c r="D69" s="14"/>
      <c r="E69" s="14"/>
      <c r="F69" s="14"/>
      <c r="G69" s="14"/>
      <c r="H69" s="14"/>
      <c r="I69" s="14"/>
      <c r="J69" s="14"/>
      <c r="K69" s="14"/>
      <c r="L69" s="14"/>
      <c r="M69" s="14"/>
      <c r="N69" s="14"/>
      <c r="O69" s="14"/>
      <c r="P69" s="14"/>
      <c r="Q69" s="14"/>
      <c r="R69" s="14"/>
      <c r="S69" s="14"/>
      <c r="T69" s="14"/>
      <c r="U69" s="14"/>
      <c r="V69" s="14"/>
      <c r="W69" s="14"/>
      <c r="X69" s="14"/>
    </row>
    <row r="70" spans="2:24">
      <c r="B70" t="s">
        <v>213</v>
      </c>
    </row>
    <row r="71" spans="2:24">
      <c r="B71" s="71" t="s">
        <v>1200</v>
      </c>
    </row>
    <row r="72" spans="2:24">
      <c r="B72" t="s">
        <v>214</v>
      </c>
    </row>
    <row r="73" spans="2:24">
      <c r="B73" t="s">
        <v>215</v>
      </c>
    </row>
    <row r="74" spans="2:24" ht="14" thickBot="1"/>
    <row r="75" spans="2:24" ht="14" thickTop="1">
      <c r="C75" s="51" t="s">
        <v>208</v>
      </c>
      <c r="E75" s="5" t="s">
        <v>209</v>
      </c>
      <c r="G75" s="5" t="s">
        <v>210</v>
      </c>
    </row>
    <row r="76" spans="2:24">
      <c r="C76" s="52">
        <v>10</v>
      </c>
      <c r="E76" s="2">
        <v>40</v>
      </c>
      <c r="G76" s="2">
        <v>40</v>
      </c>
    </row>
    <row r="77" spans="2:24">
      <c r="C77" s="52">
        <v>20</v>
      </c>
      <c r="E77" s="2">
        <v>30</v>
      </c>
      <c r="G77" s="2">
        <v>30</v>
      </c>
    </row>
    <row r="78" spans="2:24">
      <c r="C78" s="52">
        <v>30</v>
      </c>
      <c r="E78" s="2">
        <v>20</v>
      </c>
      <c r="G78" s="2">
        <v>20</v>
      </c>
    </row>
    <row r="79" spans="2:24">
      <c r="C79" s="52">
        <v>40</v>
      </c>
      <c r="E79" s="2">
        <v>10</v>
      </c>
      <c r="G79" s="2">
        <v>10</v>
      </c>
    </row>
    <row r="80" spans="2:24">
      <c r="C80" s="50"/>
    </row>
    <row r="81" spans="2:24">
      <c r="C81" s="52">
        <v>20</v>
      </c>
      <c r="E81" s="2">
        <v>20</v>
      </c>
      <c r="G81" s="2">
        <v>25</v>
      </c>
    </row>
    <row r="82" spans="2:24" ht="14" thickBot="1">
      <c r="C82" s="53" t="e">
        <f>MATCH(C81,C76:C79,-1)</f>
        <v>#N/A</v>
      </c>
      <c r="E82" s="101">
        <f>MATCH(E81,E76:E79,-1)</f>
        <v>3</v>
      </c>
      <c r="G82" s="101">
        <f>MATCH(G81,G76:G79,-1)</f>
        <v>2</v>
      </c>
    </row>
    <row r="83" spans="2:24" ht="14" thickTop="1">
      <c r="G83" s="123" t="str">
        <f ca="1">_xlfn.FORMULATEXT(G82)</f>
        <v>=MATCH(G81,G76:G79,-1)</v>
      </c>
    </row>
    <row r="86" spans="2:24" ht="14" thickBot="1">
      <c r="B86" s="14" t="s">
        <v>91</v>
      </c>
      <c r="C86" s="14"/>
      <c r="D86" s="14"/>
      <c r="E86" s="14"/>
      <c r="F86" s="14"/>
      <c r="G86" s="14"/>
      <c r="H86" s="14"/>
      <c r="I86" s="14"/>
      <c r="J86" s="14"/>
      <c r="K86" s="14"/>
      <c r="L86" s="14"/>
      <c r="M86" s="14"/>
      <c r="N86" s="14"/>
      <c r="O86" s="14"/>
      <c r="P86" s="14"/>
      <c r="Q86" s="14"/>
      <c r="R86" s="14"/>
      <c r="S86" s="14"/>
      <c r="T86" s="14"/>
      <c r="U86" s="14"/>
      <c r="V86" s="14"/>
      <c r="W86" s="14"/>
      <c r="X86" s="14"/>
    </row>
    <row r="87" spans="2:24">
      <c r="B87" t="s">
        <v>216</v>
      </c>
    </row>
    <row r="88" spans="2:24">
      <c r="B88" t="s">
        <v>217</v>
      </c>
    </row>
    <row r="89" spans="2:24">
      <c r="B89" t="s">
        <v>218</v>
      </c>
    </row>
    <row r="90" spans="2:24">
      <c r="B90" t="s">
        <v>219</v>
      </c>
    </row>
    <row r="91" spans="2:24">
      <c r="B91" t="s">
        <v>220</v>
      </c>
    </row>
    <row r="92" spans="2:24">
      <c r="B92" t="s">
        <v>221</v>
      </c>
    </row>
    <row r="93" spans="2:24">
      <c r="B93" t="s">
        <v>222</v>
      </c>
    </row>
    <row r="94" spans="2:24">
      <c r="B94" t="s">
        <v>223</v>
      </c>
    </row>
    <row r="96" spans="2:24">
      <c r="D96" s="5" t="s">
        <v>224</v>
      </c>
      <c r="F96" s="16"/>
      <c r="G96" s="22" t="s">
        <v>225</v>
      </c>
      <c r="H96" s="2">
        <v>23</v>
      </c>
    </row>
    <row r="97" spans="2:24">
      <c r="C97" s="5" t="s">
        <v>226</v>
      </c>
      <c r="D97" s="2">
        <v>54</v>
      </c>
      <c r="F97" s="24"/>
      <c r="G97" s="32" t="s">
        <v>227</v>
      </c>
      <c r="H97" s="101">
        <f>INDEX(D97:D101,MATCH(H96,D97:D101,-1))</f>
        <v>50</v>
      </c>
    </row>
    <row r="98" spans="2:24">
      <c r="C98" s="5" t="s">
        <v>228</v>
      </c>
      <c r="D98" s="2">
        <v>50</v>
      </c>
      <c r="H98" s="124" t="str">
        <f ca="1">_xlfn.FORMULATEXT(H97)</f>
        <v>=INDEX(D97:D101,MATCH(H96,D97:D101,-1))</v>
      </c>
    </row>
    <row r="99" spans="2:24">
      <c r="C99" s="5" t="s">
        <v>229</v>
      </c>
      <c r="D99" s="2">
        <v>22</v>
      </c>
    </row>
    <row r="100" spans="2:24">
      <c r="C100" s="5" t="s">
        <v>230</v>
      </c>
      <c r="D100" s="2">
        <v>15</v>
      </c>
    </row>
    <row r="101" spans="2:24">
      <c r="C101" s="5" t="s">
        <v>231</v>
      </c>
      <c r="D101" s="2">
        <v>6</v>
      </c>
    </row>
    <row r="104" spans="2:24" ht="14" thickBot="1">
      <c r="B104" s="14" t="s">
        <v>232</v>
      </c>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2:24">
      <c r="B105" t="s">
        <v>233</v>
      </c>
    </row>
    <row r="106" spans="2:24">
      <c r="B106" t="s">
        <v>234</v>
      </c>
    </row>
    <row r="107" spans="2:24">
      <c r="B107" t="s">
        <v>235</v>
      </c>
    </row>
    <row r="108" spans="2:24">
      <c r="B108" t="s">
        <v>236</v>
      </c>
    </row>
    <row r="109" spans="2:24">
      <c r="B109" t="s">
        <v>237</v>
      </c>
    </row>
    <row r="110" spans="2:24">
      <c r="B110" t="s">
        <v>238</v>
      </c>
    </row>
    <row r="112" spans="2:24">
      <c r="C112" s="5" t="s">
        <v>239</v>
      </c>
      <c r="D112" s="5" t="s">
        <v>240</v>
      </c>
      <c r="G112" s="5" t="s">
        <v>241</v>
      </c>
      <c r="H112" s="5" t="s">
        <v>240</v>
      </c>
    </row>
    <row r="113" spans="2:24">
      <c r="C113" s="2">
        <v>0</v>
      </c>
      <c r="D113" s="2" t="s">
        <v>78</v>
      </c>
      <c r="F113" s="5" t="s">
        <v>34</v>
      </c>
      <c r="G113" s="2">
        <v>60</v>
      </c>
      <c r="H113" s="3" t="str">
        <f>INDEX(D$113:D$116,MATCH(G113,C$113:C$116,1))</f>
        <v>Pass</v>
      </c>
    </row>
    <row r="114" spans="2:24">
      <c r="C114" s="2">
        <v>50</v>
      </c>
      <c r="D114" s="2" t="s">
        <v>242</v>
      </c>
      <c r="F114" s="5" t="s">
        <v>35</v>
      </c>
      <c r="G114" s="2">
        <v>6</v>
      </c>
      <c r="H114" s="3" t="str">
        <f t="shared" ref="H114:H116" si="0">INDEX(D$113:D$116,MATCH(G114,C$113:C$116,1))</f>
        <v>Fail</v>
      </c>
    </row>
    <row r="115" spans="2:24">
      <c r="C115" s="2">
        <v>80</v>
      </c>
      <c r="D115" s="2" t="s">
        <v>243</v>
      </c>
      <c r="F115" s="5" t="s">
        <v>36</v>
      </c>
      <c r="G115" s="2">
        <v>97</v>
      </c>
      <c r="H115" s="3" t="str">
        <f t="shared" si="0"/>
        <v>Distinction</v>
      </c>
    </row>
    <row r="116" spans="2:24">
      <c r="C116" s="2">
        <v>90</v>
      </c>
      <c r="D116" s="2" t="s">
        <v>244</v>
      </c>
      <c r="F116" s="5" t="s">
        <v>37</v>
      </c>
      <c r="G116" s="2">
        <v>89</v>
      </c>
      <c r="H116" s="3" t="str">
        <f t="shared" si="0"/>
        <v>Merit</v>
      </c>
    </row>
    <row r="117" spans="2:24">
      <c r="H117" s="124" t="str">
        <f ca="1">_xlfn.FORMULATEXT(H116)</f>
        <v>=INDEX(D$113:D$116,MATCH(G116,C$113:C$116,1))</v>
      </c>
    </row>
    <row r="118" spans="2:24" ht="14" thickBot="1">
      <c r="B118" s="14" t="s">
        <v>1127</v>
      </c>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2:24">
      <c r="B119" t="s">
        <v>1188</v>
      </c>
    </row>
    <row r="120" spans="2:24">
      <c r="B120" t="s">
        <v>1128</v>
      </c>
    </row>
    <row r="122" spans="2:24">
      <c r="B122" t="s">
        <v>1136</v>
      </c>
    </row>
    <row r="124" spans="2:24">
      <c r="B124" s="70" t="s">
        <v>1144</v>
      </c>
      <c r="C124" s="70"/>
    </row>
    <row r="126" spans="2:24">
      <c r="D126" s="5" t="s">
        <v>1131</v>
      </c>
      <c r="F126" s="5">
        <v>2018</v>
      </c>
      <c r="G126" s="5">
        <f>F126+1</f>
        <v>2019</v>
      </c>
      <c r="H126" s="5">
        <f t="shared" ref="H126:Q126" si="1">G126+1</f>
        <v>2020</v>
      </c>
      <c r="I126" s="5">
        <f t="shared" si="1"/>
        <v>2021</v>
      </c>
      <c r="J126" s="5">
        <f t="shared" si="1"/>
        <v>2022</v>
      </c>
      <c r="K126" s="5">
        <f t="shared" si="1"/>
        <v>2023</v>
      </c>
      <c r="L126" s="5">
        <f t="shared" si="1"/>
        <v>2024</v>
      </c>
      <c r="M126" s="5">
        <f t="shared" si="1"/>
        <v>2025</v>
      </c>
      <c r="N126" s="5">
        <f t="shared" si="1"/>
        <v>2026</v>
      </c>
      <c r="O126" s="5">
        <f t="shared" si="1"/>
        <v>2027</v>
      </c>
      <c r="P126" s="5">
        <f t="shared" si="1"/>
        <v>2028</v>
      </c>
      <c r="Q126" s="5">
        <f t="shared" si="1"/>
        <v>2029</v>
      </c>
    </row>
    <row r="127" spans="2:24">
      <c r="C127" t="s">
        <v>1129</v>
      </c>
      <c r="D127" s="243">
        <v>0.02</v>
      </c>
      <c r="F127" s="242">
        <f>(1+$D127)^(F$126-$F$126)</f>
        <v>1</v>
      </c>
      <c r="G127" s="242">
        <f t="shared" ref="G127:Q130" si="2">(1+$D127)^(G$126-$F$126)</f>
        <v>1.02</v>
      </c>
      <c r="H127" s="242">
        <f t="shared" si="2"/>
        <v>1.0404</v>
      </c>
      <c r="I127" s="242">
        <f t="shared" si="2"/>
        <v>1.0612079999999999</v>
      </c>
      <c r="J127" s="242">
        <f t="shared" si="2"/>
        <v>1.08243216</v>
      </c>
      <c r="K127" s="242">
        <f t="shared" si="2"/>
        <v>1.1040808032</v>
      </c>
      <c r="L127" s="242">
        <f t="shared" si="2"/>
        <v>1.1261624192640001</v>
      </c>
      <c r="M127" s="242">
        <f t="shared" si="2"/>
        <v>1.1486856676492798</v>
      </c>
      <c r="N127" s="242">
        <f t="shared" si="2"/>
        <v>1.1716593810022655</v>
      </c>
      <c r="O127" s="242">
        <f t="shared" si="2"/>
        <v>1.1950925686223108</v>
      </c>
      <c r="P127" s="242">
        <f t="shared" si="2"/>
        <v>1.2189944199947571</v>
      </c>
      <c r="Q127" s="242">
        <f t="shared" si="2"/>
        <v>1.243374308394652</v>
      </c>
    </row>
    <row r="128" spans="2:24">
      <c r="C128" t="s">
        <v>1133</v>
      </c>
      <c r="D128" s="243">
        <v>2.5000000000000001E-2</v>
      </c>
      <c r="F128" s="242">
        <f>(1+$D128)^(F$126-$F$126)</f>
        <v>1</v>
      </c>
      <c r="G128" s="242">
        <f t="shared" ref="G128:Q128" si="3">(1+$D128)^(G$126-$F$126)</f>
        <v>1.0249999999999999</v>
      </c>
      <c r="H128" s="242">
        <f t="shared" si="3"/>
        <v>1.0506249999999999</v>
      </c>
      <c r="I128" s="242">
        <f t="shared" si="3"/>
        <v>1.0768906249999999</v>
      </c>
      <c r="J128" s="242">
        <f t="shared" si="3"/>
        <v>1.1038128906249998</v>
      </c>
      <c r="K128" s="242">
        <f t="shared" si="3"/>
        <v>1.1314082128906247</v>
      </c>
      <c r="L128" s="242">
        <f t="shared" si="3"/>
        <v>1.1596934182128902</v>
      </c>
      <c r="M128" s="242">
        <f t="shared" si="3"/>
        <v>1.1886857536682125</v>
      </c>
      <c r="N128" s="242">
        <f t="shared" si="3"/>
        <v>1.2184028975099177</v>
      </c>
      <c r="O128" s="242">
        <f t="shared" si="3"/>
        <v>1.2488629699476654</v>
      </c>
      <c r="P128" s="242">
        <f t="shared" si="3"/>
        <v>1.2800845441963571</v>
      </c>
      <c r="Q128" s="242">
        <f t="shared" si="3"/>
        <v>1.312086657801266</v>
      </c>
    </row>
    <row r="129" spans="2:18">
      <c r="C129" t="s">
        <v>1130</v>
      </c>
      <c r="D129" s="243">
        <v>0.03</v>
      </c>
      <c r="F129" s="242">
        <f t="shared" ref="F129:F130" si="4">(1+$D129)^(F$126-$F$126)</f>
        <v>1</v>
      </c>
      <c r="G129" s="242">
        <f t="shared" si="2"/>
        <v>1.03</v>
      </c>
      <c r="H129" s="242">
        <f t="shared" si="2"/>
        <v>1.0609</v>
      </c>
      <c r="I129" s="242">
        <f t="shared" si="2"/>
        <v>1.092727</v>
      </c>
      <c r="J129" s="242">
        <f t="shared" si="2"/>
        <v>1.1255088099999999</v>
      </c>
      <c r="K129" s="242">
        <f t="shared" si="2"/>
        <v>1.1592740742999998</v>
      </c>
      <c r="L129" s="242">
        <f t="shared" si="2"/>
        <v>1.1940522965289999</v>
      </c>
      <c r="M129" s="242">
        <f t="shared" si="2"/>
        <v>1.22987386542487</v>
      </c>
      <c r="N129" s="242">
        <f t="shared" si="2"/>
        <v>1.2667700813876159</v>
      </c>
      <c r="O129" s="242">
        <f t="shared" si="2"/>
        <v>1.3047731838292445</v>
      </c>
      <c r="P129" s="242">
        <f t="shared" si="2"/>
        <v>1.3439163793441218</v>
      </c>
      <c r="Q129" s="242">
        <f t="shared" si="2"/>
        <v>1.3842338707244455</v>
      </c>
      <c r="R129" s="123"/>
    </row>
    <row r="130" spans="2:18">
      <c r="C130" t="s">
        <v>1140</v>
      </c>
      <c r="D130" s="243">
        <v>0</v>
      </c>
      <c r="F130" s="242">
        <f t="shared" si="4"/>
        <v>1</v>
      </c>
      <c r="G130" s="242">
        <f t="shared" si="2"/>
        <v>1</v>
      </c>
      <c r="H130" s="242">
        <f t="shared" si="2"/>
        <v>1</v>
      </c>
      <c r="I130" s="242">
        <f t="shared" si="2"/>
        <v>1</v>
      </c>
      <c r="J130" s="242">
        <f t="shared" si="2"/>
        <v>1</v>
      </c>
      <c r="K130" s="242">
        <f t="shared" si="2"/>
        <v>1</v>
      </c>
      <c r="L130" s="242">
        <f t="shared" si="2"/>
        <v>1</v>
      </c>
      <c r="M130" s="242">
        <f t="shared" si="2"/>
        <v>1</v>
      </c>
      <c r="N130" s="242">
        <f t="shared" si="2"/>
        <v>1</v>
      </c>
      <c r="O130" s="242">
        <f t="shared" si="2"/>
        <v>1</v>
      </c>
      <c r="P130" s="242">
        <f t="shared" si="2"/>
        <v>1</v>
      </c>
      <c r="Q130" s="242">
        <f t="shared" si="2"/>
        <v>1</v>
      </c>
      <c r="R130" s="123" t="str">
        <f ca="1">_xlfn.FORMULATEXT(Q130)</f>
        <v>=(1+$D130)^(Q$126-$F$126)</v>
      </c>
    </row>
    <row r="132" spans="2:18">
      <c r="B132" s="70" t="str">
        <f>"Unindexed costs ("&amp;F126&amp;" prices) and inflation index"</f>
        <v>Unindexed costs (2018 prices) and inflation index</v>
      </c>
    </row>
    <row r="134" spans="2:18">
      <c r="D134" s="5" t="s">
        <v>1138</v>
      </c>
      <c r="E134" s="5" t="s">
        <v>1139</v>
      </c>
    </row>
    <row r="135" spans="2:18">
      <c r="C135" t="s">
        <v>1132</v>
      </c>
      <c r="D135" s="2">
        <v>250</v>
      </c>
      <c r="E135" s="2" t="s">
        <v>1130</v>
      </c>
    </row>
    <row r="136" spans="2:18">
      <c r="C136" t="s">
        <v>1135</v>
      </c>
      <c r="D136" s="2">
        <v>200</v>
      </c>
      <c r="E136" s="2" t="s">
        <v>1140</v>
      </c>
    </row>
    <row r="137" spans="2:18">
      <c r="C137" t="s">
        <v>1134</v>
      </c>
      <c r="D137" s="2">
        <v>150</v>
      </c>
      <c r="E137" s="2" t="s">
        <v>1129</v>
      </c>
    </row>
    <row r="138" spans="2:18">
      <c r="C138" t="s">
        <v>1133</v>
      </c>
      <c r="D138" s="2">
        <v>80</v>
      </c>
      <c r="E138" s="2" t="s">
        <v>1133</v>
      </c>
    </row>
    <row r="139" spans="2:18">
      <c r="C139" t="s">
        <v>1137</v>
      </c>
      <c r="D139" s="2">
        <v>160</v>
      </c>
      <c r="E139" s="2" t="s">
        <v>1129</v>
      </c>
    </row>
    <row r="141" spans="2:18">
      <c r="B141" s="70" t="s">
        <v>1141</v>
      </c>
    </row>
    <row r="142" spans="2:18">
      <c r="F142" s="5">
        <f t="shared" ref="F142:Q142" si="5">F126</f>
        <v>2018</v>
      </c>
      <c r="G142" s="5">
        <f t="shared" si="5"/>
        <v>2019</v>
      </c>
      <c r="H142" s="5">
        <f t="shared" si="5"/>
        <v>2020</v>
      </c>
      <c r="I142" s="5">
        <f t="shared" si="5"/>
        <v>2021</v>
      </c>
      <c r="J142" s="5">
        <f t="shared" si="5"/>
        <v>2022</v>
      </c>
      <c r="K142" s="5">
        <f t="shared" si="5"/>
        <v>2023</v>
      </c>
      <c r="L142" s="5">
        <f t="shared" si="5"/>
        <v>2024</v>
      </c>
      <c r="M142" s="5">
        <f t="shared" si="5"/>
        <v>2025</v>
      </c>
      <c r="N142" s="5">
        <f t="shared" si="5"/>
        <v>2026</v>
      </c>
      <c r="O142" s="5">
        <f t="shared" si="5"/>
        <v>2027</v>
      </c>
      <c r="P142" s="5">
        <f t="shared" si="5"/>
        <v>2028</v>
      </c>
      <c r="Q142" s="5">
        <f t="shared" si="5"/>
        <v>2029</v>
      </c>
    </row>
    <row r="143" spans="2:18">
      <c r="C143" t="str">
        <f>C135</f>
        <v>Staff</v>
      </c>
      <c r="F143" s="244">
        <f t="shared" ref="F143:Q143" si="6">$D135*INDEX(F$127:F$130,MATCH($E135,$C$127:$C$130,0))</f>
        <v>250</v>
      </c>
      <c r="G143" s="244">
        <f t="shared" si="6"/>
        <v>257.5</v>
      </c>
      <c r="H143" s="244">
        <f t="shared" si="6"/>
        <v>265.22499999999997</v>
      </c>
      <c r="I143" s="244">
        <f t="shared" si="6"/>
        <v>273.18175000000002</v>
      </c>
      <c r="J143" s="244">
        <f t="shared" si="6"/>
        <v>281.37720249999995</v>
      </c>
      <c r="K143" s="244">
        <f t="shared" si="6"/>
        <v>289.81851857499998</v>
      </c>
      <c r="L143" s="244">
        <f t="shared" si="6"/>
        <v>298.51307413224998</v>
      </c>
      <c r="M143" s="244">
        <f t="shared" si="6"/>
        <v>307.4684663562175</v>
      </c>
      <c r="N143" s="244">
        <f t="shared" si="6"/>
        <v>316.69252034690396</v>
      </c>
      <c r="O143" s="244">
        <f t="shared" si="6"/>
        <v>326.19329595731114</v>
      </c>
      <c r="P143" s="244">
        <f t="shared" si="6"/>
        <v>335.97909483603047</v>
      </c>
      <c r="Q143" s="244">
        <f t="shared" si="6"/>
        <v>346.05846768111138</v>
      </c>
      <c r="R143" s="123" t="str">
        <f t="shared" ref="R143:R147" ca="1" si="7">_xlfn.FORMULATEXT(Q143)</f>
        <v>=$D135*INDEX(Q$127:Q$130,MATCH($E135,$C$127:$C$130,0))</v>
      </c>
    </row>
    <row r="144" spans="2:18">
      <c r="C144" t="str">
        <f>C136</f>
        <v>Lease</v>
      </c>
      <c r="F144" s="244">
        <f t="shared" ref="F144:Q144" si="8">$D136*INDEX(F$127:F$130,MATCH($E136,$C$127:$C$130,0))</f>
        <v>200</v>
      </c>
      <c r="G144" s="244">
        <f t="shared" si="8"/>
        <v>200</v>
      </c>
      <c r="H144" s="244">
        <f t="shared" si="8"/>
        <v>200</v>
      </c>
      <c r="I144" s="244">
        <f t="shared" si="8"/>
        <v>200</v>
      </c>
      <c r="J144" s="244">
        <f t="shared" si="8"/>
        <v>200</v>
      </c>
      <c r="K144" s="244">
        <f t="shared" si="8"/>
        <v>200</v>
      </c>
      <c r="L144" s="244">
        <f t="shared" si="8"/>
        <v>200</v>
      </c>
      <c r="M144" s="244">
        <f t="shared" si="8"/>
        <v>200</v>
      </c>
      <c r="N144" s="244">
        <f t="shared" si="8"/>
        <v>200</v>
      </c>
      <c r="O144" s="244">
        <f t="shared" si="8"/>
        <v>200</v>
      </c>
      <c r="P144" s="244">
        <f t="shared" si="8"/>
        <v>200</v>
      </c>
      <c r="Q144" s="244">
        <f t="shared" si="8"/>
        <v>200</v>
      </c>
      <c r="R144" s="123" t="str">
        <f t="shared" ca="1" si="7"/>
        <v>=$D136*INDEX(Q$127:Q$130,MATCH($E136,$C$127:$C$130,0))</v>
      </c>
    </row>
    <row r="145" spans="2:18">
      <c r="C145" t="str">
        <f>C137</f>
        <v>Maintenance</v>
      </c>
      <c r="F145" s="244">
        <f t="shared" ref="F145:Q145" si="9">$D137*INDEX(F$127:F$130,MATCH($E137,$C$127:$C$130,0))</f>
        <v>150</v>
      </c>
      <c r="G145" s="244">
        <f t="shared" si="9"/>
        <v>153</v>
      </c>
      <c r="H145" s="244">
        <f t="shared" si="9"/>
        <v>156.06</v>
      </c>
      <c r="I145" s="244">
        <f t="shared" si="9"/>
        <v>159.18119999999999</v>
      </c>
      <c r="J145" s="244">
        <f t="shared" si="9"/>
        <v>162.364824</v>
      </c>
      <c r="K145" s="244">
        <f t="shared" si="9"/>
        <v>165.61212048000002</v>
      </c>
      <c r="L145" s="244">
        <f t="shared" si="9"/>
        <v>168.92436288960002</v>
      </c>
      <c r="M145" s="244">
        <f t="shared" si="9"/>
        <v>172.30285014739198</v>
      </c>
      <c r="N145" s="244">
        <f t="shared" si="9"/>
        <v>175.74890715033982</v>
      </c>
      <c r="O145" s="244">
        <f t="shared" si="9"/>
        <v>179.26388529334662</v>
      </c>
      <c r="P145" s="244">
        <f t="shared" si="9"/>
        <v>182.84916299921358</v>
      </c>
      <c r="Q145" s="244">
        <f t="shared" si="9"/>
        <v>186.50614625919781</v>
      </c>
      <c r="R145" s="123" t="str">
        <f t="shared" ca="1" si="7"/>
        <v>=$D137*INDEX(Q$127:Q$130,MATCH($E137,$C$127:$C$130,0))</v>
      </c>
    </row>
    <row r="146" spans="2:18">
      <c r="C146" t="str">
        <f>C138</f>
        <v>Fuel</v>
      </c>
      <c r="F146" s="244">
        <f t="shared" ref="F146:Q146" si="10">$D138*INDEX(F$127:F$130,MATCH($E138,$C$127:$C$130,0))</f>
        <v>80</v>
      </c>
      <c r="G146" s="244">
        <f t="shared" si="10"/>
        <v>82</v>
      </c>
      <c r="H146" s="244">
        <f t="shared" si="10"/>
        <v>84.05</v>
      </c>
      <c r="I146" s="244">
        <f t="shared" si="10"/>
        <v>86.15124999999999</v>
      </c>
      <c r="J146" s="244">
        <f t="shared" si="10"/>
        <v>88.305031249999985</v>
      </c>
      <c r="K146" s="244">
        <f t="shared" si="10"/>
        <v>90.512657031249972</v>
      </c>
      <c r="L146" s="244">
        <f t="shared" si="10"/>
        <v>92.775473457031211</v>
      </c>
      <c r="M146" s="244">
        <f t="shared" si="10"/>
        <v>95.094860293457003</v>
      </c>
      <c r="N146" s="244">
        <f t="shared" si="10"/>
        <v>97.472231800793423</v>
      </c>
      <c r="O146" s="244">
        <f t="shared" si="10"/>
        <v>99.909037595813231</v>
      </c>
      <c r="P146" s="244">
        <f t="shared" si="10"/>
        <v>102.40676353570856</v>
      </c>
      <c r="Q146" s="244">
        <f t="shared" si="10"/>
        <v>104.96693262410128</v>
      </c>
      <c r="R146" s="123" t="str">
        <f t="shared" ca="1" si="7"/>
        <v>=$D138*INDEX(Q$127:Q$130,MATCH($E138,$C$127:$C$130,0))</v>
      </c>
    </row>
    <row r="147" spans="2:18" ht="14" thickBot="1">
      <c r="C147" s="8" t="str">
        <f>C139</f>
        <v>Other</v>
      </c>
      <c r="D147" s="8"/>
      <c r="E147" s="8"/>
      <c r="F147" s="245">
        <f t="shared" ref="F147:Q147" si="11">$D139*INDEX(F$127:F$130,MATCH($E139,$C$127:$C$130,0))</f>
        <v>160</v>
      </c>
      <c r="G147" s="245">
        <f t="shared" si="11"/>
        <v>163.19999999999999</v>
      </c>
      <c r="H147" s="245">
        <f t="shared" si="11"/>
        <v>166.464</v>
      </c>
      <c r="I147" s="245">
        <f t="shared" si="11"/>
        <v>169.79327999999998</v>
      </c>
      <c r="J147" s="245">
        <f t="shared" si="11"/>
        <v>173.18914559999999</v>
      </c>
      <c r="K147" s="245">
        <f t="shared" si="11"/>
        <v>176.65292851200002</v>
      </c>
      <c r="L147" s="245">
        <f t="shared" si="11"/>
        <v>180.18598708224002</v>
      </c>
      <c r="M147" s="245">
        <f t="shared" si="11"/>
        <v>183.78970682388479</v>
      </c>
      <c r="N147" s="245">
        <f t="shared" si="11"/>
        <v>187.46550096036248</v>
      </c>
      <c r="O147" s="245">
        <f t="shared" si="11"/>
        <v>191.21481097956973</v>
      </c>
      <c r="P147" s="245">
        <f t="shared" si="11"/>
        <v>195.03910719916115</v>
      </c>
      <c r="Q147" s="245">
        <f t="shared" si="11"/>
        <v>198.93988934314433</v>
      </c>
      <c r="R147" s="123" t="str">
        <f t="shared" ca="1" si="7"/>
        <v>=$D139*INDEX(Q$127:Q$130,MATCH($E139,$C$127:$C$130,0))</v>
      </c>
    </row>
    <row r="148" spans="2:18">
      <c r="C148" s="70" t="s">
        <v>23</v>
      </c>
      <c r="D148" s="70"/>
      <c r="E148" s="70"/>
      <c r="F148" s="246">
        <f>SUM(F143:F147)</f>
        <v>840</v>
      </c>
      <c r="G148" s="246">
        <f t="shared" ref="G148:Q148" si="12">SUM(G143:G147)</f>
        <v>855.7</v>
      </c>
      <c r="H148" s="246">
        <f t="shared" si="12"/>
        <v>871.79899999999998</v>
      </c>
      <c r="I148" s="246">
        <f t="shared" si="12"/>
        <v>888.30747999999994</v>
      </c>
      <c r="J148" s="246">
        <f t="shared" si="12"/>
        <v>905.23620334999987</v>
      </c>
      <c r="K148" s="246">
        <f t="shared" si="12"/>
        <v>922.59622459825005</v>
      </c>
      <c r="L148" s="246">
        <f t="shared" si="12"/>
        <v>940.3988975611212</v>
      </c>
      <c r="M148" s="246">
        <f t="shared" si="12"/>
        <v>958.65588362095127</v>
      </c>
      <c r="N148" s="246">
        <f t="shared" si="12"/>
        <v>977.37916025839968</v>
      </c>
      <c r="O148" s="246">
        <f t="shared" si="12"/>
        <v>996.58102982604089</v>
      </c>
      <c r="P148" s="246">
        <f t="shared" si="12"/>
        <v>1016.2741285701138</v>
      </c>
      <c r="Q148" s="246">
        <f t="shared" si="12"/>
        <v>1036.4714359075547</v>
      </c>
    </row>
    <row r="150" spans="2:18">
      <c r="B150" s="70" t="s">
        <v>1143</v>
      </c>
    </row>
    <row r="152" spans="2:18">
      <c r="D152" s="5" t="s">
        <v>1142</v>
      </c>
      <c r="F152" s="5">
        <f t="shared" ref="F152:Q152" si="13">F142</f>
        <v>2018</v>
      </c>
      <c r="G152" s="5">
        <f t="shared" si="13"/>
        <v>2019</v>
      </c>
      <c r="H152" s="5">
        <f t="shared" si="13"/>
        <v>2020</v>
      </c>
      <c r="I152" s="5">
        <f t="shared" si="13"/>
        <v>2021</v>
      </c>
      <c r="J152" s="5">
        <f t="shared" si="13"/>
        <v>2022</v>
      </c>
      <c r="K152" s="5">
        <f t="shared" si="13"/>
        <v>2023</v>
      </c>
      <c r="L152" s="5">
        <f t="shared" si="13"/>
        <v>2024</v>
      </c>
      <c r="M152" s="5">
        <f t="shared" si="13"/>
        <v>2025</v>
      </c>
      <c r="N152" s="5">
        <f t="shared" si="13"/>
        <v>2026</v>
      </c>
      <c r="O152" s="5">
        <f t="shared" si="13"/>
        <v>2027</v>
      </c>
      <c r="P152" s="5">
        <f t="shared" si="13"/>
        <v>2028</v>
      </c>
      <c r="Q152" s="5">
        <f t="shared" si="13"/>
        <v>2029</v>
      </c>
    </row>
    <row r="153" spans="2:18">
      <c r="C153" t="str">
        <f>C143</f>
        <v>Staff</v>
      </c>
      <c r="D153" s="263">
        <f>MATCH(E135,$C$127:$C$130,0)</f>
        <v>3</v>
      </c>
      <c r="F153" s="263">
        <f>$D135*INDEX(F$127:F$130,$D153)</f>
        <v>250</v>
      </c>
      <c r="G153" s="263">
        <f t="shared" ref="G153:Q153" si="14">$D135*INDEX(G$127:G$130,$D153)</f>
        <v>257.5</v>
      </c>
      <c r="H153" s="263">
        <f t="shared" si="14"/>
        <v>265.22499999999997</v>
      </c>
      <c r="I153" s="263">
        <f t="shared" si="14"/>
        <v>273.18175000000002</v>
      </c>
      <c r="J153" s="263">
        <f t="shared" si="14"/>
        <v>281.37720249999995</v>
      </c>
      <c r="K153" s="263">
        <f t="shared" si="14"/>
        <v>289.81851857499998</v>
      </c>
      <c r="L153" s="263">
        <f t="shared" si="14"/>
        <v>298.51307413224998</v>
      </c>
      <c r="M153" s="263">
        <f t="shared" si="14"/>
        <v>307.4684663562175</v>
      </c>
      <c r="N153" s="263">
        <f t="shared" si="14"/>
        <v>316.69252034690396</v>
      </c>
      <c r="O153" s="263">
        <f t="shared" si="14"/>
        <v>326.19329595731114</v>
      </c>
      <c r="P153" s="263">
        <f t="shared" si="14"/>
        <v>335.97909483603047</v>
      </c>
      <c r="Q153" s="263">
        <f t="shared" si="14"/>
        <v>346.05846768111138</v>
      </c>
      <c r="R153" s="123" t="str">
        <f t="shared" ref="R153:R157" ca="1" si="15">_xlfn.FORMULATEXT(Q153)</f>
        <v>=$D135*@INDEX(Q$127:Q$130,$D153)</v>
      </c>
    </row>
    <row r="154" spans="2:18">
      <c r="C154" t="str">
        <f t="shared" ref="C154:C158" si="16">C144</f>
        <v>Lease</v>
      </c>
      <c r="D154" s="263">
        <f t="shared" ref="D154:D157" si="17">MATCH(E136,$C$127:$C$130,0)</f>
        <v>4</v>
      </c>
      <c r="F154" s="263">
        <f t="shared" ref="F154:Q154" si="18">$D136*INDEX(F$127:F$130,$D154)</f>
        <v>200</v>
      </c>
      <c r="G154" s="263">
        <f t="shared" si="18"/>
        <v>200</v>
      </c>
      <c r="H154" s="263">
        <f t="shared" si="18"/>
        <v>200</v>
      </c>
      <c r="I154" s="263">
        <f t="shared" si="18"/>
        <v>200</v>
      </c>
      <c r="J154" s="263">
        <f t="shared" si="18"/>
        <v>200</v>
      </c>
      <c r="K154" s="263">
        <f t="shared" si="18"/>
        <v>200</v>
      </c>
      <c r="L154" s="263">
        <f t="shared" si="18"/>
        <v>200</v>
      </c>
      <c r="M154" s="263">
        <f t="shared" si="18"/>
        <v>200</v>
      </c>
      <c r="N154" s="263">
        <f t="shared" si="18"/>
        <v>200</v>
      </c>
      <c r="O154" s="263">
        <f t="shared" si="18"/>
        <v>200</v>
      </c>
      <c r="P154" s="263">
        <f t="shared" si="18"/>
        <v>200</v>
      </c>
      <c r="Q154" s="263">
        <f t="shared" si="18"/>
        <v>200</v>
      </c>
      <c r="R154" s="123" t="str">
        <f t="shared" ca="1" si="15"/>
        <v>=$D136*@INDEX(Q$127:Q$130,$D154)</v>
      </c>
    </row>
    <row r="155" spans="2:18">
      <c r="C155" t="str">
        <f t="shared" si="16"/>
        <v>Maintenance</v>
      </c>
      <c r="D155" s="263">
        <f t="shared" si="17"/>
        <v>1</v>
      </c>
      <c r="F155" s="263">
        <f t="shared" ref="F155:Q155" si="19">$D137*INDEX(F$127:F$130,$D155)</f>
        <v>150</v>
      </c>
      <c r="G155" s="263">
        <f t="shared" si="19"/>
        <v>153</v>
      </c>
      <c r="H155" s="263">
        <f t="shared" si="19"/>
        <v>156.06</v>
      </c>
      <c r="I155" s="263">
        <f t="shared" si="19"/>
        <v>159.18119999999999</v>
      </c>
      <c r="J155" s="263">
        <f t="shared" si="19"/>
        <v>162.364824</v>
      </c>
      <c r="K155" s="263">
        <f t="shared" si="19"/>
        <v>165.61212048000002</v>
      </c>
      <c r="L155" s="263">
        <f t="shared" si="19"/>
        <v>168.92436288960002</v>
      </c>
      <c r="M155" s="263">
        <f t="shared" si="19"/>
        <v>172.30285014739198</v>
      </c>
      <c r="N155" s="263">
        <f t="shared" si="19"/>
        <v>175.74890715033982</v>
      </c>
      <c r="O155" s="263">
        <f t="shared" si="19"/>
        <v>179.26388529334662</v>
      </c>
      <c r="P155" s="263">
        <f t="shared" si="19"/>
        <v>182.84916299921358</v>
      </c>
      <c r="Q155" s="263">
        <f t="shared" si="19"/>
        <v>186.50614625919781</v>
      </c>
      <c r="R155" s="123" t="str">
        <f t="shared" ca="1" si="15"/>
        <v>=$D137*@INDEX(Q$127:Q$130,$D155)</v>
      </c>
    </row>
    <row r="156" spans="2:18">
      <c r="C156" t="str">
        <f t="shared" si="16"/>
        <v>Fuel</v>
      </c>
      <c r="D156" s="263">
        <f t="shared" si="17"/>
        <v>2</v>
      </c>
      <c r="F156" s="263">
        <f t="shared" ref="F156:Q156" si="20">$D138*INDEX(F$127:F$130,$D156)</f>
        <v>80</v>
      </c>
      <c r="G156" s="263">
        <f t="shared" si="20"/>
        <v>82</v>
      </c>
      <c r="H156" s="263">
        <f t="shared" si="20"/>
        <v>84.05</v>
      </c>
      <c r="I156" s="263">
        <f t="shared" si="20"/>
        <v>86.15124999999999</v>
      </c>
      <c r="J156" s="263">
        <f t="shared" si="20"/>
        <v>88.305031249999985</v>
      </c>
      <c r="K156" s="263">
        <f t="shared" si="20"/>
        <v>90.512657031249972</v>
      </c>
      <c r="L156" s="263">
        <f t="shared" si="20"/>
        <v>92.775473457031211</v>
      </c>
      <c r="M156" s="263">
        <f t="shared" si="20"/>
        <v>95.094860293457003</v>
      </c>
      <c r="N156" s="263">
        <f t="shared" si="20"/>
        <v>97.472231800793423</v>
      </c>
      <c r="O156" s="263">
        <f t="shared" si="20"/>
        <v>99.909037595813231</v>
      </c>
      <c r="P156" s="263">
        <f t="shared" si="20"/>
        <v>102.40676353570856</v>
      </c>
      <c r="Q156" s="263">
        <f t="shared" si="20"/>
        <v>104.96693262410128</v>
      </c>
      <c r="R156" s="123" t="str">
        <f t="shared" ca="1" si="15"/>
        <v>=$D138*@INDEX(Q$127:Q$130,$D156)</v>
      </c>
    </row>
    <row r="157" spans="2:18" ht="14" thickBot="1">
      <c r="C157" s="8" t="str">
        <f t="shared" si="16"/>
        <v>Other</v>
      </c>
      <c r="D157" s="264">
        <f t="shared" si="17"/>
        <v>1</v>
      </c>
      <c r="E157" s="8"/>
      <c r="F157" s="263">
        <f t="shared" ref="F157:Q157" si="21">$D139*INDEX(F$127:F$130,$D157)</f>
        <v>160</v>
      </c>
      <c r="G157" s="263">
        <f t="shared" si="21"/>
        <v>163.19999999999999</v>
      </c>
      <c r="H157" s="263">
        <f t="shared" si="21"/>
        <v>166.464</v>
      </c>
      <c r="I157" s="263">
        <f t="shared" si="21"/>
        <v>169.79327999999998</v>
      </c>
      <c r="J157" s="263">
        <f t="shared" si="21"/>
        <v>173.18914559999999</v>
      </c>
      <c r="K157" s="263">
        <f t="shared" si="21"/>
        <v>176.65292851200002</v>
      </c>
      <c r="L157" s="263">
        <f t="shared" si="21"/>
        <v>180.18598708224002</v>
      </c>
      <c r="M157" s="263">
        <f t="shared" si="21"/>
        <v>183.78970682388479</v>
      </c>
      <c r="N157" s="263">
        <f t="shared" si="21"/>
        <v>187.46550096036248</v>
      </c>
      <c r="O157" s="263">
        <f t="shared" si="21"/>
        <v>191.21481097956973</v>
      </c>
      <c r="P157" s="263">
        <f t="shared" si="21"/>
        <v>195.03910719916115</v>
      </c>
      <c r="Q157" s="263">
        <f t="shared" si="21"/>
        <v>198.93988934314433</v>
      </c>
      <c r="R157" s="123" t="str">
        <f t="shared" ca="1" si="15"/>
        <v>=$D139*@INDEX(Q$127:Q$130,$D157)</v>
      </c>
    </row>
    <row r="158" spans="2:18">
      <c r="C158" s="70" t="str">
        <f t="shared" si="16"/>
        <v>Total</v>
      </c>
      <c r="D158" s="70"/>
      <c r="E158" s="70"/>
      <c r="F158" s="246">
        <f>SUM(F153:F157)</f>
        <v>840</v>
      </c>
      <c r="G158" s="246">
        <f t="shared" ref="G158" si="22">SUM(G153:G157)</f>
        <v>855.7</v>
      </c>
      <c r="H158" s="246">
        <f t="shared" ref="H158" si="23">SUM(H153:H157)</f>
        <v>871.79899999999998</v>
      </c>
      <c r="I158" s="246">
        <f t="shared" ref="I158" si="24">SUM(I153:I157)</f>
        <v>888.30747999999994</v>
      </c>
      <c r="J158" s="246">
        <f t="shared" ref="J158" si="25">SUM(J153:J157)</f>
        <v>905.23620334999987</v>
      </c>
      <c r="K158" s="246">
        <f t="shared" ref="K158" si="26">SUM(K153:K157)</f>
        <v>922.59622459825005</v>
      </c>
      <c r="L158" s="246">
        <f t="shared" ref="L158" si="27">SUM(L153:L157)</f>
        <v>940.3988975611212</v>
      </c>
      <c r="M158" s="246">
        <f t="shared" ref="M158" si="28">SUM(M153:M157)</f>
        <v>958.65588362095127</v>
      </c>
      <c r="N158" s="246">
        <f t="shared" ref="N158" si="29">SUM(N153:N157)</f>
        <v>977.37916025839968</v>
      </c>
      <c r="O158" s="246">
        <f t="shared" ref="O158" si="30">SUM(O153:O157)</f>
        <v>996.58102982604089</v>
      </c>
      <c r="P158" s="246">
        <f t="shared" ref="P158" si="31">SUM(P153:P157)</f>
        <v>1016.2741285701138</v>
      </c>
      <c r="Q158" s="246">
        <f t="shared" ref="Q158" si="32">SUM(Q153:Q157)</f>
        <v>1036.4714359075547</v>
      </c>
    </row>
    <row r="160" spans="2:18">
      <c r="D160" s="123" t="str">
        <f ca="1">_xlfn.FORMULATEXT(D157)</f>
        <v>=MATCH(E139,$C$127:$C$130,0)</v>
      </c>
    </row>
  </sheetData>
  <dataValidations disablePrompts="1" count="1">
    <dataValidation type="list" allowBlank="1" showInputMessage="1" showErrorMessage="1" sqref="E135:E139" xr:uid="{00000000-0002-0000-1100-000000000000}">
      <formula1>$C$127:$C$130</formula1>
    </dataValidation>
  </dataValidations>
  <printOptions headings="1" gridLines="1"/>
  <pageMargins left="0.74803149606299213" right="0.74803149606299213" top="0.98425196850393704" bottom="0.98425196850393704" header="0.51181102362204722" footer="0.51181102362204722"/>
  <pageSetup paperSize="9" scale="37" fitToHeight="5" orientation="portrait" r:id="rId1"/>
  <headerFooter alignWithMargins="0">
    <oddHeader>&amp;LExcel Function Dictionary
© 1998 - 2000 Peter Noneley&amp;R&amp;A
Page &amp;P of &amp;N</oddHeader>
  </headerFooter>
  <rowBreaks count="2" manualBreakCount="2">
    <brk id="48" max="65535" man="1"/>
    <brk id="82" max="6553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I21"/>
  <sheetViews>
    <sheetView showGridLines="0" workbookViewId="0">
      <pane ySplit="1" topLeftCell="A2" activePane="bottomLeft" state="frozen"/>
      <selection activeCell="K21" sqref="K21"/>
      <selection pane="bottomLeft" activeCell="H23" sqref="H23"/>
    </sheetView>
  </sheetViews>
  <sheetFormatPr baseColWidth="10" defaultColWidth="8.83203125" defaultRowHeight="13"/>
  <cols>
    <col min="1" max="1" width="2.83203125" customWidth="1"/>
    <col min="2" max="2" width="4.33203125" customWidth="1"/>
    <col min="3" max="3" width="8.5" customWidth="1"/>
    <col min="4" max="4" width="12" bestFit="1" customWidth="1"/>
    <col min="5" max="5" width="10.1640625" bestFit="1" customWidth="1"/>
    <col min="9" max="9" width="25.1640625" bestFit="1" customWidth="1"/>
  </cols>
  <sheetData>
    <row r="1" spans="1:9" ht="19" thickBot="1">
      <c r="A1" s="1" t="s">
        <v>641</v>
      </c>
      <c r="B1" s="1"/>
      <c r="C1" s="1"/>
      <c r="D1" s="1"/>
      <c r="E1" s="1"/>
      <c r="F1" s="1"/>
      <c r="G1" s="1"/>
      <c r="H1" s="1"/>
      <c r="I1" s="1"/>
    </row>
    <row r="2" spans="1:9" ht="14" thickTop="1"/>
    <row r="3" spans="1:9">
      <c r="E3" s="5">
        <v>2019</v>
      </c>
      <c r="F3" s="5">
        <v>2020</v>
      </c>
      <c r="G3" s="5">
        <v>2021</v>
      </c>
      <c r="H3" s="5">
        <v>2022</v>
      </c>
    </row>
    <row r="4" spans="1:9">
      <c r="C4" s="40" t="s">
        <v>642</v>
      </c>
      <c r="D4" s="5" t="s">
        <v>643</v>
      </c>
      <c r="E4" s="2">
        <v>550</v>
      </c>
      <c r="F4" s="2">
        <v>560</v>
      </c>
      <c r="G4" s="2">
        <v>565</v>
      </c>
      <c r="H4" s="2">
        <v>580</v>
      </c>
    </row>
    <row r="5" spans="1:9">
      <c r="C5" s="41"/>
      <c r="D5" s="5" t="s">
        <v>644</v>
      </c>
      <c r="E5" s="2">
        <v>280</v>
      </c>
      <c r="F5" s="2">
        <v>290</v>
      </c>
      <c r="G5" s="2">
        <v>291</v>
      </c>
      <c r="H5" s="2">
        <v>295</v>
      </c>
    </row>
    <row r="6" spans="1:9">
      <c r="C6" s="40" t="s">
        <v>645</v>
      </c>
      <c r="D6" s="5" t="s">
        <v>643</v>
      </c>
      <c r="E6" s="2">
        <v>540</v>
      </c>
      <c r="F6" s="2">
        <v>548</v>
      </c>
      <c r="G6" s="2">
        <v>556</v>
      </c>
      <c r="H6" s="2">
        <v>574</v>
      </c>
    </row>
    <row r="7" spans="1:9">
      <c r="C7" s="41"/>
      <c r="D7" s="5" t="s">
        <v>644</v>
      </c>
      <c r="E7" s="2">
        <v>280</v>
      </c>
      <c r="F7" s="2">
        <v>285</v>
      </c>
      <c r="G7" s="2">
        <v>288</v>
      </c>
      <c r="H7" s="2">
        <v>294</v>
      </c>
    </row>
    <row r="8" spans="1:9">
      <c r="C8" s="40" t="s">
        <v>646</v>
      </c>
      <c r="D8" s="5" t="s">
        <v>643</v>
      </c>
      <c r="E8" s="2">
        <v>540</v>
      </c>
      <c r="F8" s="2">
        <v>560</v>
      </c>
      <c r="G8" s="2">
        <v>570</v>
      </c>
      <c r="H8" s="2">
        <v>585</v>
      </c>
    </row>
    <row r="9" spans="1:9">
      <c r="C9" s="41"/>
      <c r="D9" s="5" t="s">
        <v>644</v>
      </c>
      <c r="E9" s="2">
        <v>275</v>
      </c>
      <c r="F9" s="2">
        <v>282</v>
      </c>
      <c r="G9" s="2">
        <v>295</v>
      </c>
      <c r="H9" s="2">
        <v>302</v>
      </c>
    </row>
    <row r="11" spans="1:9">
      <c r="C11" t="s">
        <v>647</v>
      </c>
      <c r="E11" s="2">
        <v>2</v>
      </c>
    </row>
    <row r="13" spans="1:9">
      <c r="D13" s="5" t="s">
        <v>643</v>
      </c>
      <c r="E13" s="3">
        <f t="shared" ref="E13:G14" si="0">CHOOSE($E$11,E4,E6,E8)</f>
        <v>540</v>
      </c>
      <c r="F13" s="3">
        <f t="shared" si="0"/>
        <v>548</v>
      </c>
      <c r="G13" s="3">
        <f t="shared" si="0"/>
        <v>556</v>
      </c>
      <c r="H13" s="3">
        <f t="shared" ref="H13" si="1">CHOOSE($E$11,H4,H6,H8)</f>
        <v>574</v>
      </c>
      <c r="I13" s="123" t="str">
        <f ca="1">_xlfn.FORMULATEXT(H13)</f>
        <v>=CHOOSE($E$11,H4,H6,H8)</v>
      </c>
    </row>
    <row r="14" spans="1:9">
      <c r="D14" s="5" t="s">
        <v>644</v>
      </c>
      <c r="E14" s="3">
        <f t="shared" si="0"/>
        <v>280</v>
      </c>
      <c r="F14" s="3">
        <f t="shared" si="0"/>
        <v>285</v>
      </c>
      <c r="G14" s="3">
        <f t="shared" si="0"/>
        <v>288</v>
      </c>
      <c r="H14" s="3">
        <f t="shared" ref="H14" si="2">CHOOSE($E$11,H5,H7,H9)</f>
        <v>294</v>
      </c>
      <c r="I14" s="123" t="str">
        <f ca="1">_xlfn.FORMULATEXT(H14)</f>
        <v>=CHOOSE($E$11,H5,H7,H9)</v>
      </c>
    </row>
    <row r="16" spans="1:9" ht="14" thickBot="1">
      <c r="B16" s="14" t="s">
        <v>29</v>
      </c>
      <c r="C16" s="14"/>
      <c r="D16" s="14"/>
      <c r="E16" s="14"/>
      <c r="F16" s="14"/>
      <c r="G16" s="14"/>
      <c r="H16" s="14"/>
      <c r="I16" s="14"/>
    </row>
    <row r="17" spans="2:9">
      <c r="B17" t="s">
        <v>650</v>
      </c>
    </row>
    <row r="18" spans="2:9">
      <c r="B18" t="s">
        <v>648</v>
      </c>
    </row>
    <row r="20" spans="2:9" ht="14" thickBot="1">
      <c r="B20" s="14" t="s">
        <v>24</v>
      </c>
      <c r="C20" s="14"/>
      <c r="D20" s="14"/>
      <c r="E20" s="14"/>
      <c r="F20" s="14"/>
      <c r="G20" s="14"/>
      <c r="H20" s="14"/>
      <c r="I20" s="14"/>
    </row>
    <row r="21" spans="2:9">
      <c r="B21" s="96" t="s">
        <v>649</v>
      </c>
    </row>
  </sheetData>
  <printOptions headings="1" gridLines="1"/>
  <pageMargins left="0.74803149606299213" right="0.74803149606299213" top="0.98425196850393704" bottom="0.98425196850393704" header="0.51181102362204722" footer="0.51181102362204722"/>
  <pageSetup paperSize="9" scale="94" fitToHeight="5" orientation="portrait" r:id="rId1"/>
  <headerFooter alignWithMargins="0">
    <oddHeader>&amp;LExcel Function Dictionary
© 1998 - 2000 Peter Noneley&amp;R&amp;A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B1:T122"/>
  <sheetViews>
    <sheetView showGridLines="0" zoomScale="55" zoomScaleNormal="55" workbookViewId="0">
      <selection activeCell="M19" sqref="M19"/>
    </sheetView>
  </sheetViews>
  <sheetFormatPr baseColWidth="10" defaultColWidth="9.1640625" defaultRowHeight="12"/>
  <cols>
    <col min="1" max="1" width="2" style="214" customWidth="1"/>
    <col min="2" max="18" width="9.1640625" style="214"/>
    <col min="19" max="19" width="13.5" style="214" bestFit="1" customWidth="1"/>
    <col min="20" max="20" width="21.5" style="214" customWidth="1"/>
    <col min="21" max="16384" width="9.1640625" style="214"/>
  </cols>
  <sheetData>
    <row r="1" spans="2:2" ht="14">
      <c r="B1" s="213" t="s">
        <v>304</v>
      </c>
    </row>
    <row r="2" spans="2:2">
      <c r="B2" s="214" t="s">
        <v>305</v>
      </c>
    </row>
    <row r="3" spans="2:2">
      <c r="B3" s="214" t="s">
        <v>306</v>
      </c>
    </row>
    <row r="4" spans="2:2">
      <c r="B4" s="214" t="s">
        <v>307</v>
      </c>
    </row>
    <row r="6" spans="2:2">
      <c r="B6" s="223" t="s">
        <v>407</v>
      </c>
    </row>
    <row r="8" spans="2:2">
      <c r="B8" s="215" t="s">
        <v>308</v>
      </c>
    </row>
    <row r="9" spans="2:2">
      <c r="B9" s="214" t="s">
        <v>309</v>
      </c>
    </row>
    <row r="10" spans="2:2">
      <c r="B10" s="214" t="s">
        <v>394</v>
      </c>
    </row>
    <row r="16" spans="2:2">
      <c r="B16" s="214" t="s">
        <v>310</v>
      </c>
    </row>
    <row r="17" spans="2:2">
      <c r="B17" s="214" t="s">
        <v>311</v>
      </c>
    </row>
    <row r="19" spans="2:2">
      <c r="B19" s="214" t="s">
        <v>441</v>
      </c>
    </row>
    <row r="20" spans="2:2">
      <c r="B20" s="214" t="s">
        <v>442</v>
      </c>
    </row>
    <row r="21" spans="2:2">
      <c r="B21" s="214" t="s">
        <v>443</v>
      </c>
    </row>
    <row r="22" spans="2:2">
      <c r="B22" s="214" t="s">
        <v>409</v>
      </c>
    </row>
    <row r="23" spans="2:2">
      <c r="B23" s="214" t="s">
        <v>408</v>
      </c>
    </row>
    <row r="40" spans="2:20">
      <c r="N40" s="224" t="s">
        <v>410</v>
      </c>
    </row>
    <row r="44" spans="2:20">
      <c r="B44" s="214" t="s">
        <v>690</v>
      </c>
    </row>
    <row r="46" spans="2:20">
      <c r="B46" s="215" t="s">
        <v>312</v>
      </c>
    </row>
    <row r="47" spans="2:20" ht="13" thickBot="1">
      <c r="B47" s="214" t="s">
        <v>313</v>
      </c>
    </row>
    <row r="48" spans="2:20">
      <c r="B48" s="214" t="s">
        <v>314</v>
      </c>
      <c r="S48" s="225" t="s">
        <v>315</v>
      </c>
      <c r="T48" s="226" t="s">
        <v>316</v>
      </c>
    </row>
    <row r="49" spans="2:20">
      <c r="S49" s="227" t="s">
        <v>317</v>
      </c>
      <c r="T49" s="228">
        <v>300</v>
      </c>
    </row>
    <row r="50" spans="2:20">
      <c r="B50" s="217" t="s">
        <v>318</v>
      </c>
      <c r="D50" s="229"/>
      <c r="S50" s="227" t="s">
        <v>319</v>
      </c>
      <c r="T50" s="228">
        <v>4</v>
      </c>
    </row>
    <row r="51" spans="2:20">
      <c r="B51" s="214" t="s">
        <v>320</v>
      </c>
      <c r="D51" s="229"/>
      <c r="G51" s="220"/>
      <c r="S51" s="227" t="s">
        <v>317</v>
      </c>
      <c r="T51" s="228">
        <v>5</v>
      </c>
    </row>
    <row r="52" spans="2:20">
      <c r="B52" s="220" t="s">
        <v>404</v>
      </c>
      <c r="D52" s="229"/>
      <c r="F52" s="214" t="s">
        <v>401</v>
      </c>
      <c r="G52" s="220" t="s">
        <v>402</v>
      </c>
      <c r="S52" s="227" t="s">
        <v>319</v>
      </c>
      <c r="T52" s="228">
        <v>6</v>
      </c>
    </row>
    <row r="53" spans="2:20">
      <c r="D53" s="229"/>
      <c r="S53" s="227" t="s">
        <v>317</v>
      </c>
      <c r="T53" s="228">
        <v>997</v>
      </c>
    </row>
    <row r="54" spans="2:20">
      <c r="D54" s="229"/>
      <c r="S54" s="227" t="s">
        <v>319</v>
      </c>
      <c r="T54" s="228">
        <v>3546</v>
      </c>
    </row>
    <row r="55" spans="2:20">
      <c r="D55" s="215"/>
      <c r="S55" s="227" t="s">
        <v>317</v>
      </c>
      <c r="T55" s="228">
        <v>5464</v>
      </c>
    </row>
    <row r="56" spans="2:20">
      <c r="D56" s="229"/>
      <c r="S56" s="227" t="s">
        <v>319</v>
      </c>
      <c r="T56" s="228">
        <v>5556544</v>
      </c>
    </row>
    <row r="57" spans="2:20">
      <c r="B57" s="220"/>
      <c r="D57" s="229"/>
      <c r="S57" s="227" t="s">
        <v>317</v>
      </c>
      <c r="T57" s="228">
        <v>673</v>
      </c>
    </row>
    <row r="58" spans="2:20">
      <c r="B58" s="214" t="s">
        <v>321</v>
      </c>
      <c r="D58" s="229"/>
      <c r="S58" s="227" t="s">
        <v>319</v>
      </c>
      <c r="T58" s="228">
        <v>546</v>
      </c>
    </row>
    <row r="59" spans="2:20" ht="13" thickBot="1">
      <c r="B59" s="214" t="s">
        <v>322</v>
      </c>
      <c r="D59" s="229"/>
      <c r="S59" s="230" t="s">
        <v>317</v>
      </c>
      <c r="T59" s="231">
        <v>23</v>
      </c>
    </row>
    <row r="60" spans="2:20">
      <c r="B60" s="220" t="s">
        <v>405</v>
      </c>
      <c r="D60" s="229"/>
      <c r="G60" s="220" t="s">
        <v>403</v>
      </c>
    </row>
    <row r="61" spans="2:20">
      <c r="D61" s="229"/>
    </row>
    <row r="62" spans="2:20">
      <c r="D62" s="215"/>
    </row>
    <row r="63" spans="2:20">
      <c r="D63" s="229"/>
    </row>
    <row r="64" spans="2:20">
      <c r="D64" s="229"/>
    </row>
    <row r="65" spans="2:2">
      <c r="B65" s="215"/>
    </row>
    <row r="66" spans="2:2">
      <c r="B66" s="214" t="s">
        <v>323</v>
      </c>
    </row>
    <row r="67" spans="2:2">
      <c r="B67" s="214" t="s">
        <v>324</v>
      </c>
    </row>
    <row r="68" spans="2:2">
      <c r="B68" s="214" t="s">
        <v>325</v>
      </c>
    </row>
    <row r="70" spans="2:2">
      <c r="B70" s="217" t="s">
        <v>326</v>
      </c>
    </row>
    <row r="71" spans="2:2">
      <c r="B71" s="220" t="s">
        <v>406</v>
      </c>
    </row>
    <row r="80" spans="2:2">
      <c r="B80" s="217" t="s">
        <v>327</v>
      </c>
    </row>
    <row r="87" spans="2:2">
      <c r="B87" s="217" t="s">
        <v>328</v>
      </c>
    </row>
    <row r="93" spans="2:2">
      <c r="B93" s="229"/>
    </row>
    <row r="94" spans="2:2">
      <c r="B94" s="215" t="s">
        <v>329</v>
      </c>
    </row>
    <row r="95" spans="2:2">
      <c r="B95" s="214" t="s">
        <v>395</v>
      </c>
    </row>
    <row r="96" spans="2:2">
      <c r="B96" s="217" t="s">
        <v>330</v>
      </c>
    </row>
    <row r="102" spans="2:2">
      <c r="B102" s="217" t="s">
        <v>331</v>
      </c>
    </row>
    <row r="108" spans="2:2">
      <c r="B108" s="215" t="s">
        <v>396</v>
      </c>
    </row>
    <row r="109" spans="2:2">
      <c r="B109" s="214" t="s">
        <v>332</v>
      </c>
    </row>
    <row r="116" spans="2:6">
      <c r="B116" s="214" t="s">
        <v>333</v>
      </c>
    </row>
    <row r="117" spans="2:6">
      <c r="B117" s="214" t="s">
        <v>334</v>
      </c>
    </row>
    <row r="119" spans="2:6">
      <c r="B119" s="215" t="s">
        <v>393</v>
      </c>
    </row>
    <row r="122" spans="2:6" ht="13">
      <c r="F122" s="71"/>
    </row>
  </sheetData>
  <pageMargins left="0.6" right="0.6" top="1" bottom="1" header="0.5" footer="0.5"/>
  <pageSetup scale="32" orientation="landscape" r:id="rId1"/>
  <headerFooter>
    <oddHeader>&amp;RDraft - Work in Progress</oddHeader>
    <oddFooter>&amp;L&amp;F
&amp;D, &amp;T&amp;CPage &amp;P of &amp;N&amp;R&amp;A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tabColor rgb="FF00B050"/>
    <pageSetUpPr fitToPage="1"/>
  </sheetPr>
  <dimension ref="A1:J31"/>
  <sheetViews>
    <sheetView showGridLines="0" zoomScale="85" zoomScaleNormal="85" workbookViewId="0">
      <pane ySplit="1" topLeftCell="A2" activePane="bottomLeft" state="frozen"/>
      <selection activeCell="K21" sqref="K21"/>
      <selection pane="bottomLeft" activeCell="G4" sqref="G4"/>
    </sheetView>
  </sheetViews>
  <sheetFormatPr baseColWidth="10" defaultColWidth="8.83203125" defaultRowHeight="13"/>
  <cols>
    <col min="1" max="1" width="2.83203125" customWidth="1"/>
    <col min="8" max="8" width="9.5" customWidth="1"/>
    <col min="10" max="10" width="8.83203125" customWidth="1"/>
  </cols>
  <sheetData>
    <row r="1" spans="1:10" ht="19" thickBot="1">
      <c r="A1" s="1" t="s">
        <v>69</v>
      </c>
      <c r="B1" s="1"/>
      <c r="C1" s="1"/>
      <c r="D1" s="1"/>
      <c r="E1" s="1"/>
      <c r="F1" s="1"/>
      <c r="G1" s="1"/>
      <c r="H1" s="1"/>
      <c r="I1" s="1"/>
      <c r="J1" s="1"/>
    </row>
    <row r="2" spans="1:10" ht="14" thickTop="1"/>
    <row r="3" spans="1:10">
      <c r="C3" s="28" t="s">
        <v>70</v>
      </c>
      <c r="D3" s="29"/>
      <c r="E3" s="30"/>
      <c r="F3" s="5" t="s">
        <v>71</v>
      </c>
    </row>
    <row r="4" spans="1:10">
      <c r="C4" s="2">
        <v>10</v>
      </c>
      <c r="D4" s="2">
        <v>20</v>
      </c>
      <c r="E4" s="2">
        <v>30</v>
      </c>
      <c r="F4" s="3">
        <f>COUNT(C4:E4)</f>
        <v>3</v>
      </c>
      <c r="G4" s="123" t="str">
        <f t="shared" ref="G4:G12" ca="1" si="0">_xlfn.FORMULATEXT(F4)</f>
        <v>=COUNT(C4:E4)</v>
      </c>
    </row>
    <row r="5" spans="1:10">
      <c r="C5" s="2">
        <v>10</v>
      </c>
      <c r="D5" s="2">
        <v>0</v>
      </c>
      <c r="E5" s="2">
        <v>30</v>
      </c>
      <c r="F5" s="3">
        <f>COUNT(C5:E5)</f>
        <v>3</v>
      </c>
      <c r="G5" s="123" t="str">
        <f t="shared" ca="1" si="0"/>
        <v>=COUNT(C5:E5)</v>
      </c>
    </row>
    <row r="6" spans="1:10">
      <c r="C6" s="2">
        <v>10</v>
      </c>
      <c r="D6" s="2">
        <v>-20</v>
      </c>
      <c r="E6" s="2">
        <v>30</v>
      </c>
      <c r="F6" s="3">
        <f>COUNT(C6:E6)</f>
        <v>3</v>
      </c>
      <c r="G6" s="123" t="str">
        <f t="shared" ca="1" si="0"/>
        <v>=COUNT(C6:E6)</v>
      </c>
    </row>
    <row r="7" spans="1:10">
      <c r="C7" s="2">
        <v>10</v>
      </c>
      <c r="D7" s="31">
        <v>43466</v>
      </c>
      <c r="E7" s="2">
        <v>30</v>
      </c>
      <c r="F7" s="3">
        <f t="shared" ref="F7:F12" si="1">COUNT(C7:E7)</f>
        <v>3</v>
      </c>
      <c r="G7" s="123" t="str">
        <f t="shared" ca="1" si="0"/>
        <v>=COUNT(C7:E7)</v>
      </c>
    </row>
    <row r="8" spans="1:10">
      <c r="C8" s="2">
        <v>10</v>
      </c>
      <c r="D8" s="25">
        <v>0.89583333333333337</v>
      </c>
      <c r="E8" s="2">
        <v>30</v>
      </c>
      <c r="F8" s="3">
        <f t="shared" si="1"/>
        <v>3</v>
      </c>
      <c r="G8" s="123" t="str">
        <f t="shared" ca="1" si="0"/>
        <v>=COUNT(C8:E8)</v>
      </c>
    </row>
    <row r="9" spans="1:10">
      <c r="C9" s="2">
        <v>10</v>
      </c>
      <c r="D9" s="2">
        <f ca="1">RAND()</f>
        <v>0.84065225934956056</v>
      </c>
      <c r="E9" s="2">
        <v>30</v>
      </c>
      <c r="F9" s="3">
        <f t="shared" ca="1" si="1"/>
        <v>3</v>
      </c>
      <c r="G9" s="123" t="str">
        <f t="shared" ca="1" si="0"/>
        <v>=COUNT(C9:E9)</v>
      </c>
    </row>
    <row r="10" spans="1:10">
      <c r="C10" s="2">
        <v>10</v>
      </c>
      <c r="D10" s="2"/>
      <c r="E10" s="2">
        <v>30</v>
      </c>
      <c r="F10" s="3">
        <f t="shared" si="1"/>
        <v>2</v>
      </c>
      <c r="G10" s="123" t="str">
        <f t="shared" ca="1" si="0"/>
        <v>=COUNT(C10:E10)</v>
      </c>
    </row>
    <row r="11" spans="1:10">
      <c r="C11" s="2">
        <v>10</v>
      </c>
      <c r="D11" s="2" t="s">
        <v>28</v>
      </c>
      <c r="E11" s="2">
        <v>30</v>
      </c>
      <c r="F11" s="3">
        <f t="shared" si="1"/>
        <v>2</v>
      </c>
      <c r="G11" s="123" t="str">
        <f t="shared" ca="1" si="0"/>
        <v>=COUNT(C11:E11)</v>
      </c>
    </row>
    <row r="12" spans="1:10">
      <c r="C12" s="2">
        <v>10</v>
      </c>
      <c r="D12" s="2" t="e">
        <f>0/0</f>
        <v>#DIV/0!</v>
      </c>
      <c r="E12" s="2">
        <v>30</v>
      </c>
      <c r="F12" s="3">
        <f t="shared" si="1"/>
        <v>2</v>
      </c>
      <c r="G12" s="123" t="str">
        <f t="shared" ca="1" si="0"/>
        <v>=COUNT(C12:E12)</v>
      </c>
    </row>
    <row r="14" spans="1:10" ht="14" thickBot="1">
      <c r="B14" s="14" t="s">
        <v>29</v>
      </c>
      <c r="C14" s="14"/>
      <c r="D14" s="14"/>
      <c r="E14" s="14"/>
      <c r="F14" s="14"/>
      <c r="G14" s="14"/>
      <c r="H14" s="14"/>
      <c r="I14" s="14"/>
      <c r="J14" s="14"/>
    </row>
    <row r="15" spans="1:10">
      <c r="B15" t="s">
        <v>72</v>
      </c>
    </row>
    <row r="16" spans="1:10">
      <c r="B16" t="s">
        <v>73</v>
      </c>
    </row>
    <row r="18" spans="2:10" ht="14" thickBot="1">
      <c r="B18" s="14" t="s">
        <v>24</v>
      </c>
      <c r="C18" s="14"/>
      <c r="D18" s="14"/>
      <c r="E18" s="14"/>
      <c r="F18" s="14"/>
      <c r="G18" s="14"/>
      <c r="H18" s="14"/>
      <c r="I18" s="14"/>
      <c r="J18" s="14"/>
    </row>
    <row r="19" spans="2:10">
      <c r="B19" s="18" t="s">
        <v>699</v>
      </c>
    </row>
    <row r="21" spans="2:10" ht="14" thickBot="1">
      <c r="B21" s="14" t="s">
        <v>25</v>
      </c>
      <c r="C21" s="14"/>
      <c r="D21" s="14"/>
      <c r="E21" s="14"/>
      <c r="F21" s="14"/>
      <c r="G21" s="14"/>
      <c r="H21" s="14"/>
      <c r="I21" s="14"/>
      <c r="J21" s="14"/>
    </row>
    <row r="22" spans="2:10">
      <c r="B22" t="s">
        <v>74</v>
      </c>
    </row>
    <row r="23" spans="2:10">
      <c r="B23" t="s">
        <v>75</v>
      </c>
    </row>
    <row r="25" spans="2:10">
      <c r="C25" s="5" t="s">
        <v>57</v>
      </c>
      <c r="D25" s="5" t="s">
        <v>0</v>
      </c>
      <c r="E25" s="5" t="s">
        <v>1</v>
      </c>
      <c r="F25" s="5" t="s">
        <v>2</v>
      </c>
      <c r="G25" s="5" t="s">
        <v>701</v>
      </c>
      <c r="H25" s="5" t="s">
        <v>700</v>
      </c>
    </row>
    <row r="26" spans="2:10">
      <c r="C26" s="5" t="s">
        <v>58</v>
      </c>
      <c r="D26" s="78">
        <v>1000</v>
      </c>
      <c r="E26" s="78"/>
      <c r="F26" s="78">
        <v>250</v>
      </c>
      <c r="G26" s="104"/>
      <c r="H26" s="104"/>
    </row>
    <row r="27" spans="2:10">
      <c r="C27" s="5" t="s">
        <v>59</v>
      </c>
      <c r="D27" s="78"/>
      <c r="E27" s="78">
        <v>5000</v>
      </c>
      <c r="F27" s="78"/>
      <c r="G27" s="104"/>
      <c r="H27" s="104"/>
    </row>
    <row r="28" spans="2:10">
      <c r="C28" s="5" t="s">
        <v>76</v>
      </c>
      <c r="D28" s="78">
        <v>2000</v>
      </c>
      <c r="E28" s="78">
        <v>1000</v>
      </c>
      <c r="F28" s="78"/>
      <c r="G28" s="104"/>
      <c r="H28" s="104"/>
    </row>
    <row r="29" spans="2:10">
      <c r="C29" s="5" t="s">
        <v>77</v>
      </c>
      <c r="D29" s="78">
        <v>1000</v>
      </c>
      <c r="E29" s="78"/>
      <c r="F29" s="78"/>
      <c r="G29" s="104"/>
      <c r="H29" s="104"/>
    </row>
    <row r="30" spans="2:10">
      <c r="C30" s="5" t="s">
        <v>71</v>
      </c>
      <c r="D30" s="3">
        <f>COUNT(D26:D29)</f>
        <v>3</v>
      </c>
      <c r="E30" s="3">
        <f>COUNT(E26:E29)</f>
        <v>2</v>
      </c>
      <c r="F30" s="3">
        <f>COUNT(F26:F29)</f>
        <v>1</v>
      </c>
      <c r="G30" s="3">
        <f>COUNT(D26:F29)</f>
        <v>6</v>
      </c>
      <c r="H30" s="3">
        <f>COUNT(D26:D29,F26:F29)</f>
        <v>4</v>
      </c>
      <c r="I30" s="123" t="str">
        <f ca="1">_xlfn.FORMULATEXT(H30)</f>
        <v>=COUNT(D26:D29,F26:F29)</v>
      </c>
    </row>
    <row r="31" spans="2:10">
      <c r="D31" s="105" t="str">
        <f ca="1">_xlfn.FORMULATEXT(D30)</f>
        <v>=COUNT(D26:D29)</v>
      </c>
      <c r="G31" s="105" t="str">
        <f ca="1">_xlfn.FORMULATEXT(G30)</f>
        <v>=COUNT(D26:F29)</v>
      </c>
    </row>
  </sheetData>
  <printOptions headings="1" gridLines="1"/>
  <pageMargins left="0.74803149606299213" right="0.74803149606299213" top="0.98425196850393704" bottom="0.98425196850393704" header="0.51181102362204722" footer="0.51181102362204722"/>
  <pageSetup paperSize="9" scale="93" fitToHeight="5" orientation="portrait" r:id="rId1"/>
  <headerFooter alignWithMargins="0">
    <oddHeader>&amp;LExcel Function Dictionary
© 1998 - 2000 Peter Noneley&amp;R&amp;A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tabColor rgb="FF00B050"/>
    <pageSetUpPr fitToPage="1"/>
  </sheetPr>
  <dimension ref="A1:O32"/>
  <sheetViews>
    <sheetView showGridLines="0" workbookViewId="0">
      <pane ySplit="1" topLeftCell="A2" activePane="bottomLeft" state="frozenSplit"/>
      <selection activeCell="G4" sqref="G4"/>
      <selection pane="bottomLeft" activeCell="G4" sqref="G4"/>
    </sheetView>
  </sheetViews>
  <sheetFormatPr baseColWidth="10" defaultColWidth="8.83203125" defaultRowHeight="13"/>
  <cols>
    <col min="1" max="1" width="2.83203125" customWidth="1"/>
    <col min="2" max="2" width="10.6640625" customWidth="1"/>
    <col min="3" max="3" width="12.5" customWidth="1"/>
    <col min="4" max="4" width="11.1640625" customWidth="1"/>
    <col min="7" max="7" width="36.83203125" customWidth="1"/>
    <col min="9" max="9" width="2.83203125" customWidth="1"/>
    <col min="10" max="10" width="10.6640625" customWidth="1"/>
    <col min="11" max="11" width="12.5" customWidth="1"/>
    <col min="12" max="12" width="11.1640625" customWidth="1"/>
    <col min="15" max="15" width="56.5" customWidth="1"/>
  </cols>
  <sheetData>
    <row r="1" spans="1:15" ht="19" thickBot="1">
      <c r="A1" s="1" t="s">
        <v>79</v>
      </c>
      <c r="B1" s="1"/>
      <c r="C1" s="1"/>
      <c r="D1" s="1"/>
      <c r="E1" s="1"/>
      <c r="F1" s="1"/>
      <c r="G1" s="1"/>
      <c r="I1" s="1" t="s">
        <v>475</v>
      </c>
      <c r="J1" s="1"/>
      <c r="K1" s="1"/>
      <c r="L1" s="1"/>
      <c r="M1" s="1"/>
      <c r="N1" s="1"/>
      <c r="O1" s="1"/>
    </row>
    <row r="2" spans="1:15" ht="14" thickTop="1"/>
    <row r="3" spans="1:15">
      <c r="C3" s="5" t="s">
        <v>57</v>
      </c>
      <c r="D3" s="5" t="s">
        <v>80</v>
      </c>
      <c r="E3" s="5" t="s">
        <v>81</v>
      </c>
      <c r="K3" s="5" t="s">
        <v>57</v>
      </c>
      <c r="L3" s="5" t="s">
        <v>80</v>
      </c>
      <c r="M3" s="5" t="s">
        <v>81</v>
      </c>
    </row>
    <row r="4" spans="1:15">
      <c r="C4" s="2" t="s">
        <v>82</v>
      </c>
      <c r="D4" s="31">
        <v>43101</v>
      </c>
      <c r="E4" s="2">
        <v>80</v>
      </c>
      <c r="K4" s="2" t="s">
        <v>82</v>
      </c>
      <c r="L4" s="31">
        <v>43101</v>
      </c>
      <c r="M4" s="2">
        <v>80</v>
      </c>
    </row>
    <row r="5" spans="1:15">
      <c r="C5" s="2" t="s">
        <v>83</v>
      </c>
      <c r="D5" s="31">
        <v>43230</v>
      </c>
      <c r="E5" s="2">
        <v>25</v>
      </c>
      <c r="K5" s="2" t="s">
        <v>83</v>
      </c>
      <c r="L5" s="31">
        <v>43230</v>
      </c>
      <c r="M5" s="2">
        <v>25</v>
      </c>
    </row>
    <row r="6" spans="1:15">
      <c r="C6" s="2" t="s">
        <v>82</v>
      </c>
      <c r="D6" s="31">
        <v>43132</v>
      </c>
      <c r="E6" s="2">
        <v>80</v>
      </c>
      <c r="K6" s="2" t="s">
        <v>82</v>
      </c>
      <c r="L6" s="31">
        <v>43132</v>
      </c>
      <c r="M6" s="2">
        <v>80</v>
      </c>
    </row>
    <row r="7" spans="1:15">
      <c r="C7" s="2" t="s">
        <v>84</v>
      </c>
      <c r="D7" s="31">
        <v>43160</v>
      </c>
      <c r="E7" s="2">
        <v>150</v>
      </c>
      <c r="K7" s="2" t="s">
        <v>84</v>
      </c>
      <c r="L7" s="31">
        <v>43160</v>
      </c>
      <c r="M7" s="2">
        <v>150</v>
      </c>
    </row>
    <row r="8" spans="1:15">
      <c r="C8" s="2" t="s">
        <v>84</v>
      </c>
      <c r="D8" s="31">
        <v>43105</v>
      </c>
      <c r="E8" s="2">
        <v>300</v>
      </c>
      <c r="K8" s="2" t="s">
        <v>84</v>
      </c>
      <c r="L8" s="31">
        <v>43105</v>
      </c>
      <c r="M8" s="2">
        <v>300</v>
      </c>
    </row>
    <row r="9" spans="1:15">
      <c r="C9" s="2" t="s">
        <v>85</v>
      </c>
      <c r="D9" s="31">
        <v>43252</v>
      </c>
      <c r="E9" s="2">
        <v>50</v>
      </c>
      <c r="K9" s="2" t="s">
        <v>85</v>
      </c>
      <c r="L9" s="31">
        <v>43252</v>
      </c>
      <c r="M9" s="2">
        <v>50</v>
      </c>
    </row>
    <row r="10" spans="1:15">
      <c r="C10" s="2" t="s">
        <v>83</v>
      </c>
      <c r="D10" s="31">
        <v>43191</v>
      </c>
      <c r="E10" s="2">
        <v>200</v>
      </c>
      <c r="K10" s="2" t="s">
        <v>83</v>
      </c>
      <c r="L10" s="31">
        <v>43191</v>
      </c>
      <c r="M10" s="2">
        <v>200</v>
      </c>
    </row>
    <row r="11" spans="1:15">
      <c r="C11" s="2" t="s">
        <v>83</v>
      </c>
      <c r="D11" s="31">
        <v>43160</v>
      </c>
      <c r="E11" s="2">
        <v>100</v>
      </c>
      <c r="K11" s="2" t="s">
        <v>83</v>
      </c>
      <c r="L11" s="31">
        <v>43160</v>
      </c>
      <c r="M11" s="2">
        <v>100</v>
      </c>
    </row>
    <row r="12" spans="1:15">
      <c r="C12" s="2" t="s">
        <v>86</v>
      </c>
      <c r="D12" s="31">
        <v>43221</v>
      </c>
      <c r="E12" s="2">
        <v>250</v>
      </c>
      <c r="K12" s="2" t="s">
        <v>86</v>
      </c>
      <c r="L12" s="31">
        <v>43221</v>
      </c>
      <c r="M12" s="2">
        <v>250</v>
      </c>
    </row>
    <row r="14" spans="1:15">
      <c r="B14" s="16" t="s">
        <v>484</v>
      </c>
      <c r="C14" s="33"/>
      <c r="D14" s="33"/>
      <c r="E14" s="34"/>
      <c r="F14" s="3">
        <f>COUNTIF(C$4:C$12,"Brakes")</f>
        <v>2</v>
      </c>
      <c r="G14" s="123" t="str">
        <f ca="1">_xlfn.FORMULATEXT(F14)</f>
        <v>=COUNTIF(C$4:C$12,"Brakes")</v>
      </c>
      <c r="J14" s="16" t="s">
        <v>485</v>
      </c>
      <c r="K14" s="33"/>
      <c r="L14" s="33"/>
      <c r="M14" s="34"/>
      <c r="N14" s="3">
        <f>COUNTIFS(K$4:K$12,"Tyres",M$4:M$12,"&gt;=100")</f>
        <v>2</v>
      </c>
      <c r="O14" s="123" t="str">
        <f ca="1">_xlfn.FORMULATEXT(N14)</f>
        <v>=COUNTIFS(K$4:K$12,"Tyres",M$4:M$12,"&gt;=100")</v>
      </c>
    </row>
    <row r="15" spans="1:15">
      <c r="B15" s="16" t="s">
        <v>87</v>
      </c>
      <c r="C15" s="33"/>
      <c r="D15" s="33"/>
      <c r="E15" s="34"/>
      <c r="F15" s="3">
        <f>COUNTIF(C$4:C$12,"Tyres")</f>
        <v>3</v>
      </c>
      <c r="G15" s="123" t="str">
        <f ca="1">_xlfn.FORMULATEXT(F15)</f>
        <v>=COUNTIF(C$4:C$12,"Tyres")</v>
      </c>
    </row>
    <row r="16" spans="1:15">
      <c r="B16" s="16" t="s">
        <v>88</v>
      </c>
      <c r="C16" s="33"/>
      <c r="D16" s="33"/>
      <c r="E16" s="34"/>
      <c r="F16" s="3">
        <f>COUNTIF(E$4:E$12,"&gt;=100")</f>
        <v>5</v>
      </c>
      <c r="G16" s="123" t="str">
        <f ca="1">_xlfn.FORMULATEXT(F16)</f>
        <v>=COUNTIF(E$4:E$12,"&gt;=100")</v>
      </c>
      <c r="J16" s="63" t="s">
        <v>486</v>
      </c>
      <c r="K16" s="64"/>
      <c r="L16" s="65"/>
      <c r="M16" s="2">
        <v>150</v>
      </c>
    </row>
    <row r="17" spans="2:15">
      <c r="J17" s="24"/>
      <c r="K17" s="62"/>
      <c r="L17" s="66" t="s">
        <v>495</v>
      </c>
      <c r="M17" s="31">
        <v>35855</v>
      </c>
      <c r="N17" s="3">
        <f>COUNTIFS(M$4:M$12,"&gt;"&amp;M16,L$4:L$12,"&gt;="&amp;M17)</f>
        <v>3</v>
      </c>
      <c r="O17" s="123" t="str">
        <f ca="1">_xlfn.FORMULATEXT(N17)</f>
        <v>=COUNTIFS(M$4:M$12,"&gt;"&amp;M16,L$4:L$12,"&gt;="&amp;M17)</v>
      </c>
    </row>
    <row r="18" spans="2:15">
      <c r="B18" s="16" t="s">
        <v>480</v>
      </c>
      <c r="C18" s="33"/>
      <c r="D18" s="33"/>
      <c r="E18" s="2" t="s">
        <v>84</v>
      </c>
      <c r="F18" s="3">
        <f>COUNTIF(C$4:C$12,E18)</f>
        <v>2</v>
      </c>
      <c r="G18" s="123" t="str">
        <f ca="1">_xlfn.FORMULATEXT(F18)</f>
        <v>=COUNTIF(C$4:C$12,E18)</v>
      </c>
    </row>
    <row r="19" spans="2:15">
      <c r="B19" s="16" t="s">
        <v>481</v>
      </c>
      <c r="C19" s="33"/>
      <c r="D19" s="33"/>
      <c r="E19" s="2">
        <v>200</v>
      </c>
      <c r="F19" s="3">
        <f>COUNTIF(E$4:E$12,"&lt;"&amp;E19)</f>
        <v>6</v>
      </c>
      <c r="G19" s="123" t="str">
        <f ca="1">_xlfn.FORMULATEXT(F19)</f>
        <v>=COUNTIF(E$4:E$12,"&lt;"&amp;E19)</v>
      </c>
      <c r="J19" s="63" t="s">
        <v>488</v>
      </c>
      <c r="K19" s="64"/>
      <c r="L19" s="65"/>
      <c r="M19" s="31">
        <v>43160</v>
      </c>
    </row>
    <row r="20" spans="2:15">
      <c r="B20" s="16" t="s">
        <v>494</v>
      </c>
      <c r="C20" s="33"/>
      <c r="D20" s="33"/>
      <c r="E20" s="31">
        <v>43191</v>
      </c>
      <c r="F20" s="3">
        <f>COUNTIF(D$4:D$12,"&gt;"&amp;E20)</f>
        <v>3</v>
      </c>
      <c r="G20" s="123" t="str">
        <f ca="1">_xlfn.FORMULATEXT(F20)</f>
        <v>=COUNTIF(D$4:D$12,"&gt;"&amp;E20)</v>
      </c>
      <c r="J20" s="24"/>
      <c r="K20" s="62"/>
      <c r="L20" s="66" t="s">
        <v>489</v>
      </c>
      <c r="M20" s="31">
        <v>43221</v>
      </c>
      <c r="N20" s="3">
        <f>COUNTIFS(L$4:L$12,"&gt;="&amp;M19,L$4:L$12,"&lt;="&amp;M20)</f>
        <v>4</v>
      </c>
      <c r="O20" s="123" t="str">
        <f ca="1">_xlfn.FORMULATEXT(N20)</f>
        <v>=COUNTIFS(L$4:L$12,"&gt;="&amp;M19,L$4:L$12,"&lt;="&amp;M20)</v>
      </c>
    </row>
    <row r="22" spans="2:15" ht="14" thickBot="1">
      <c r="B22" s="14" t="s">
        <v>29</v>
      </c>
      <c r="C22" s="14"/>
      <c r="D22" s="14"/>
      <c r="E22" s="14"/>
      <c r="F22" s="14"/>
      <c r="G22" s="14"/>
      <c r="J22" s="14" t="s">
        <v>29</v>
      </c>
      <c r="K22" s="14"/>
      <c r="L22" s="14"/>
      <c r="M22" s="14"/>
      <c r="N22" s="14"/>
      <c r="O22" s="14"/>
    </row>
    <row r="23" spans="2:15">
      <c r="B23" t="s">
        <v>487</v>
      </c>
      <c r="J23" t="s">
        <v>492</v>
      </c>
    </row>
    <row r="25" spans="2:15" ht="14" thickBot="1">
      <c r="B25" s="14" t="s">
        <v>24</v>
      </c>
      <c r="C25" s="14"/>
      <c r="D25" s="14"/>
      <c r="E25" s="14"/>
      <c r="F25" s="14"/>
      <c r="G25" s="14"/>
      <c r="J25" s="14" t="s">
        <v>24</v>
      </c>
      <c r="K25" s="14"/>
      <c r="L25" s="14"/>
      <c r="M25" s="14"/>
      <c r="N25" s="14"/>
      <c r="O25" s="14"/>
    </row>
    <row r="26" spans="2:15">
      <c r="B26" s="26" t="s">
        <v>476</v>
      </c>
      <c r="J26" s="26" t="s">
        <v>490</v>
      </c>
    </row>
    <row r="27" spans="2:15">
      <c r="B27" t="s">
        <v>496</v>
      </c>
      <c r="J27" t="s">
        <v>491</v>
      </c>
    </row>
    <row r="28" spans="2:15">
      <c r="B28" s="61" t="s">
        <v>477</v>
      </c>
      <c r="J28" t="s">
        <v>493</v>
      </c>
    </row>
    <row r="29" spans="2:15">
      <c r="B29" s="61" t="s">
        <v>478</v>
      </c>
    </row>
    <row r="30" spans="2:15">
      <c r="B30" s="61" t="s">
        <v>479</v>
      </c>
    </row>
    <row r="31" spans="2:15">
      <c r="B31" s="70" t="s">
        <v>482</v>
      </c>
    </row>
    <row r="32" spans="2:15">
      <c r="B32" s="61" t="s">
        <v>483</v>
      </c>
    </row>
  </sheetData>
  <dataValidations disablePrompts="1" count="1">
    <dataValidation type="list" allowBlank="1" showInputMessage="1" showErrorMessage="1" sqref="E18" xr:uid="{00000000-0002-0000-1400-000000000000}">
      <formula1>$C$4:$C$12</formula1>
    </dataValidation>
  </dataValidations>
  <printOptions headings="1" gridLines="1"/>
  <pageMargins left="0.74803149606299213" right="0.74803149606299213" top="0.98425196850393704" bottom="0.98425196850393704" header="0.51181102362204722" footer="0.51181102362204722"/>
  <pageSetup paperSize="9" scale="40" fitToHeight="5" orientation="portrait" r:id="rId1"/>
  <headerFooter alignWithMargins="0">
    <oddHeader>&amp;LExcel Function Dictionary
© 1998 - 2000 Peter Noneley&amp;R&amp;A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00B050"/>
    <pageSetUpPr fitToPage="1"/>
  </sheetPr>
  <dimension ref="A1:AC27"/>
  <sheetViews>
    <sheetView showGridLines="0" zoomScale="85" zoomScaleNormal="85" workbookViewId="0">
      <pane ySplit="1" topLeftCell="A2" activePane="bottomLeft" state="frozen"/>
      <selection activeCell="G4" sqref="G4"/>
      <selection pane="bottomLeft" activeCell="G4" sqref="G4"/>
    </sheetView>
  </sheetViews>
  <sheetFormatPr baseColWidth="10" defaultColWidth="8.83203125" defaultRowHeight="13"/>
  <cols>
    <col min="1" max="1" width="2.83203125" customWidth="1"/>
    <col min="2" max="2" width="3.83203125" customWidth="1"/>
    <col min="3" max="3" width="5.5" customWidth="1"/>
    <col min="4" max="4" width="4.5" customWidth="1"/>
    <col min="5" max="5" width="8.5" customWidth="1"/>
    <col min="6" max="6" width="4.83203125" customWidth="1"/>
    <col min="7" max="7" width="4" customWidth="1"/>
    <col min="8" max="8" width="3.1640625" customWidth="1"/>
    <col min="9" max="9" width="3.83203125" customWidth="1"/>
    <col min="10" max="10" width="4.1640625" customWidth="1"/>
    <col min="11" max="11" width="7.5" customWidth="1"/>
    <col min="13" max="13" width="13.1640625" customWidth="1"/>
    <col min="29" max="29" width="20.6640625" customWidth="1"/>
  </cols>
  <sheetData>
    <row r="1" spans="1:29" ht="19" thickBot="1">
      <c r="A1" s="1" t="s">
        <v>40</v>
      </c>
      <c r="B1" s="1"/>
      <c r="C1" s="1"/>
      <c r="D1" s="1"/>
      <c r="E1" s="1"/>
      <c r="F1" s="1"/>
      <c r="G1" s="1"/>
      <c r="H1" s="1"/>
      <c r="I1" s="1"/>
      <c r="J1" s="1"/>
      <c r="K1" s="1"/>
      <c r="L1" s="1"/>
      <c r="M1" s="1"/>
      <c r="N1" s="1"/>
      <c r="P1" s="1" t="s">
        <v>498</v>
      </c>
      <c r="Q1" s="1"/>
      <c r="R1" s="1"/>
      <c r="S1" s="1"/>
      <c r="T1" s="1"/>
      <c r="U1" s="1"/>
      <c r="V1" s="1"/>
      <c r="W1" s="1"/>
      <c r="X1" s="1"/>
      <c r="Y1" s="1"/>
      <c r="Z1" s="1"/>
      <c r="AA1" s="1"/>
      <c r="AB1" s="1"/>
      <c r="AC1" s="1"/>
    </row>
    <row r="2" spans="1:29" ht="14" thickTop="1"/>
    <row r="3" spans="1:29">
      <c r="D3" s="5" t="s">
        <v>41</v>
      </c>
      <c r="E3" s="5" t="s">
        <v>42</v>
      </c>
      <c r="F3" s="5" t="s">
        <v>43</v>
      </c>
      <c r="G3" s="5" t="s">
        <v>44</v>
      </c>
      <c r="H3" s="5" t="s">
        <v>45</v>
      </c>
      <c r="I3" s="5" t="s">
        <v>46</v>
      </c>
      <c r="J3" s="5" t="s">
        <v>47</v>
      </c>
      <c r="K3" s="5" t="s">
        <v>48</v>
      </c>
      <c r="S3" s="5" t="s">
        <v>41</v>
      </c>
      <c r="T3" s="5" t="s">
        <v>42</v>
      </c>
      <c r="U3" s="5" t="s">
        <v>43</v>
      </c>
      <c r="V3" s="5" t="s">
        <v>44</v>
      </c>
      <c r="W3" s="5" t="s">
        <v>45</v>
      </c>
      <c r="X3" s="5" t="s">
        <v>46</v>
      </c>
      <c r="Y3" s="5" t="s">
        <v>47</v>
      </c>
    </row>
    <row r="4" spans="1:29">
      <c r="C4" s="11" t="s">
        <v>49</v>
      </c>
      <c r="D4" s="2">
        <v>30</v>
      </c>
      <c r="E4" s="2">
        <v>31</v>
      </c>
      <c r="F4" s="2">
        <v>32</v>
      </c>
      <c r="G4" s="2">
        <v>29</v>
      </c>
      <c r="H4" s="2">
        <v>26</v>
      </c>
      <c r="I4" s="2">
        <v>28</v>
      </c>
      <c r="J4" s="2">
        <v>27</v>
      </c>
      <c r="K4" s="3">
        <f>AVERAGE(D4:J4)</f>
        <v>29</v>
      </c>
      <c r="L4" s="123" t="str">
        <f ca="1">_xlfn.FORMULATEXT(K4)</f>
        <v>=AVERAGE(D4:J4)</v>
      </c>
      <c r="R4" s="11" t="s">
        <v>49</v>
      </c>
      <c r="S4" s="2">
        <v>30</v>
      </c>
      <c r="T4" s="2">
        <v>31</v>
      </c>
      <c r="U4" s="2">
        <v>32</v>
      </c>
      <c r="V4" s="2">
        <v>29</v>
      </c>
      <c r="W4" s="2">
        <v>26</v>
      </c>
      <c r="X4" s="2">
        <v>28</v>
      </c>
      <c r="Y4" s="2">
        <v>27</v>
      </c>
    </row>
    <row r="5" spans="1:29">
      <c r="C5" s="11" t="s">
        <v>50</v>
      </c>
      <c r="D5" s="2">
        <v>0</v>
      </c>
      <c r="E5" s="2">
        <v>0</v>
      </c>
      <c r="F5" s="2">
        <v>0</v>
      </c>
      <c r="G5" s="2">
        <v>4</v>
      </c>
      <c r="H5" s="2">
        <v>6</v>
      </c>
      <c r="I5" s="2">
        <v>3</v>
      </c>
      <c r="J5" s="2">
        <v>1</v>
      </c>
      <c r="K5" s="3">
        <f>AVERAGE(D5:J5)</f>
        <v>2</v>
      </c>
      <c r="L5" s="123" t="str">
        <f ca="1">_xlfn.FORMULATEXT(K5)</f>
        <v>=AVERAGE(D5:J5)</v>
      </c>
      <c r="R5" s="11" t="s">
        <v>50</v>
      </c>
      <c r="S5" s="2">
        <v>0</v>
      </c>
      <c r="T5" s="2">
        <v>0</v>
      </c>
      <c r="U5" s="2">
        <v>0</v>
      </c>
      <c r="V5" s="2">
        <v>4</v>
      </c>
      <c r="W5" s="2">
        <v>6</v>
      </c>
      <c r="X5" s="2">
        <v>3</v>
      </c>
      <c r="Y5" s="2">
        <v>1</v>
      </c>
    </row>
    <row r="6" spans="1:29">
      <c r="R6" s="11" t="s">
        <v>47</v>
      </c>
      <c r="S6" s="2" t="s">
        <v>499</v>
      </c>
      <c r="T6" s="2" t="s">
        <v>499</v>
      </c>
      <c r="U6" s="2" t="s">
        <v>499</v>
      </c>
      <c r="V6" s="2" t="s">
        <v>499</v>
      </c>
      <c r="W6" s="2" t="s">
        <v>500</v>
      </c>
      <c r="X6" s="2" t="s">
        <v>500</v>
      </c>
      <c r="Y6" s="2" t="s">
        <v>499</v>
      </c>
    </row>
    <row r="7" spans="1:29">
      <c r="D7" s="5" t="s">
        <v>41</v>
      </c>
      <c r="E7" s="5" t="s">
        <v>42</v>
      </c>
      <c r="F7" s="5" t="s">
        <v>43</v>
      </c>
      <c r="G7" s="5" t="s">
        <v>44</v>
      </c>
      <c r="H7" s="5" t="s">
        <v>45</v>
      </c>
      <c r="I7" s="5" t="s">
        <v>46</v>
      </c>
      <c r="J7" s="5" t="s">
        <v>47</v>
      </c>
      <c r="K7" s="5" t="s">
        <v>48</v>
      </c>
    </row>
    <row r="8" spans="1:29">
      <c r="C8" s="11" t="s">
        <v>49</v>
      </c>
      <c r="D8" s="2">
        <v>30</v>
      </c>
      <c r="E8" s="2"/>
      <c r="F8" s="2">
        <v>32</v>
      </c>
      <c r="G8" s="2">
        <v>29</v>
      </c>
      <c r="H8" s="2">
        <v>26</v>
      </c>
      <c r="I8" s="2">
        <v>28</v>
      </c>
      <c r="J8" s="2">
        <v>27</v>
      </c>
      <c r="K8" s="3">
        <f>AVERAGE(D8:J8)</f>
        <v>28.666666666666668</v>
      </c>
      <c r="L8" s="123" t="str">
        <f ca="1">_xlfn.FORMULATEXT(K8)</f>
        <v>=AVERAGE(D8:J8)</v>
      </c>
    </row>
    <row r="9" spans="1:29">
      <c r="C9" s="11" t="s">
        <v>50</v>
      </c>
      <c r="D9" s="2">
        <v>0</v>
      </c>
      <c r="E9" s="2" t="s">
        <v>115</v>
      </c>
      <c r="F9" s="2">
        <v>0</v>
      </c>
      <c r="G9" s="2">
        <v>4</v>
      </c>
      <c r="H9" s="2">
        <v>6</v>
      </c>
      <c r="I9" s="2">
        <v>3</v>
      </c>
      <c r="J9" s="2">
        <v>1</v>
      </c>
      <c r="K9" s="3">
        <f>AVERAGE(D9:J9)</f>
        <v>2.3333333333333335</v>
      </c>
      <c r="L9" s="123" t="str">
        <f ca="1">_xlfn.FORMULATEXT(K9)</f>
        <v>=AVERAGE(D9:J9)</v>
      </c>
      <c r="R9" s="16" t="s">
        <v>503</v>
      </c>
      <c r="S9" s="33"/>
      <c r="T9" s="33"/>
      <c r="U9" s="34"/>
      <c r="V9" s="16"/>
      <c r="W9" s="34"/>
      <c r="X9" s="2">
        <v>28</v>
      </c>
      <c r="Y9" s="3">
        <f>AVERAGEIF(S4:Y4,"&gt;"&amp;X9)</f>
        <v>30.5</v>
      </c>
      <c r="Z9" s="123" t="str">
        <f ca="1">_xlfn.FORMULATEXT(Y9)</f>
        <v>=AVERAGEIF(S4:Y4,"&gt;"&amp;X9)</v>
      </c>
    </row>
    <row r="10" spans="1:29">
      <c r="R10" s="16" t="s">
        <v>501</v>
      </c>
      <c r="S10" s="33"/>
      <c r="T10" s="33"/>
      <c r="U10" s="34"/>
      <c r="V10" s="16"/>
      <c r="W10" s="33"/>
      <c r="X10" s="34"/>
      <c r="Y10" s="3">
        <f>AVERAGEIF(S6:Y6,"Y",S4:Y4)</f>
        <v>29.8</v>
      </c>
      <c r="Z10" s="123" t="str">
        <f ca="1">_xlfn.FORMULATEXT(Y10)</f>
        <v>=AVERAGEIF(S6:Y6,"Y",S4:Y4)</v>
      </c>
    </row>
    <row r="11" spans="1:29">
      <c r="D11" s="5" t="s">
        <v>41</v>
      </c>
      <c r="E11" s="5" t="s">
        <v>42</v>
      </c>
      <c r="F11" s="5" t="s">
        <v>43</v>
      </c>
      <c r="G11" s="5" t="s">
        <v>44</v>
      </c>
      <c r="H11" s="5" t="s">
        <v>45</v>
      </c>
      <c r="I11" s="5" t="s">
        <v>46</v>
      </c>
      <c r="J11" s="5" t="s">
        <v>47</v>
      </c>
      <c r="K11" s="5" t="s">
        <v>48</v>
      </c>
      <c r="R11" s="16" t="s">
        <v>502</v>
      </c>
      <c r="S11" s="33"/>
      <c r="T11" s="33"/>
      <c r="U11" s="34"/>
      <c r="V11" s="16"/>
      <c r="W11" s="34"/>
      <c r="X11" s="2">
        <v>1</v>
      </c>
      <c r="Y11" s="3">
        <f>AVERAGEIFS(S4:Y4,S6:Y6,"Y",S5:Y5,"&gt;="&amp;X11)</f>
        <v>28</v>
      </c>
      <c r="Z11" s="123" t="str">
        <f ca="1">_xlfn.FORMULATEXT(Y11)</f>
        <v>=AVERAGEIFS(S4:Y4,S6:Y6,"Y",S5:Y5,"&gt;="&amp;X11)</v>
      </c>
    </row>
    <row r="12" spans="1:29">
      <c r="C12" s="11" t="s">
        <v>49</v>
      </c>
      <c r="D12" s="2">
        <v>30</v>
      </c>
      <c r="E12" s="2" t="s">
        <v>51</v>
      </c>
      <c r="F12" s="2">
        <v>32</v>
      </c>
      <c r="G12" s="2">
        <v>29</v>
      </c>
      <c r="H12" s="2">
        <v>26</v>
      </c>
      <c r="I12" s="2">
        <v>28</v>
      </c>
      <c r="J12" s="2">
        <v>27</v>
      </c>
      <c r="K12" s="3">
        <f>AVERAGE(D12:J12)</f>
        <v>28.666666666666668</v>
      </c>
      <c r="L12" s="123" t="str">
        <f ca="1">_xlfn.FORMULATEXT(K12)</f>
        <v>=AVERAGE(D12:J12)</v>
      </c>
    </row>
    <row r="13" spans="1:29">
      <c r="C13" s="11" t="s">
        <v>50</v>
      </c>
      <c r="D13" s="2">
        <v>0</v>
      </c>
      <c r="E13" s="2" t="s">
        <v>52</v>
      </c>
      <c r="F13" s="2">
        <v>0</v>
      </c>
      <c r="G13" s="2">
        <v>4</v>
      </c>
      <c r="H13" s="2">
        <v>6</v>
      </c>
      <c r="I13" s="2">
        <v>3</v>
      </c>
      <c r="J13" s="2">
        <v>1</v>
      </c>
      <c r="K13" s="3">
        <f>AVERAGE(D13:J13)</f>
        <v>2.3333333333333335</v>
      </c>
      <c r="L13" s="123" t="str">
        <f ca="1">_xlfn.FORMULATEXT(K13)</f>
        <v>=AVERAGE(D13:J13)</v>
      </c>
    </row>
    <row r="15" spans="1:29" ht="14" thickBot="1">
      <c r="B15" s="14" t="s">
        <v>29</v>
      </c>
      <c r="C15" s="14"/>
      <c r="D15" s="14"/>
      <c r="E15" s="14"/>
      <c r="F15" s="14"/>
      <c r="G15" s="14"/>
      <c r="H15" s="14"/>
      <c r="I15" s="14"/>
      <c r="J15" s="14"/>
      <c r="K15" s="14"/>
      <c r="L15" s="14"/>
      <c r="M15" s="14"/>
      <c r="N15" s="14"/>
      <c r="Q15" s="14" t="s">
        <v>29</v>
      </c>
      <c r="R15" s="14"/>
      <c r="S15" s="14"/>
      <c r="T15" s="14"/>
      <c r="U15" s="14"/>
      <c r="V15" s="14"/>
      <c r="W15" s="14"/>
      <c r="X15" s="14"/>
      <c r="Y15" s="14"/>
      <c r="Z15" s="14"/>
      <c r="AA15" s="14"/>
      <c r="AB15" s="14"/>
      <c r="AC15" s="14"/>
    </row>
    <row r="16" spans="1:29">
      <c r="B16" t="s">
        <v>53</v>
      </c>
      <c r="Q16" t="s">
        <v>504</v>
      </c>
    </row>
    <row r="17" spans="2:29">
      <c r="B17" t="s">
        <v>54</v>
      </c>
      <c r="Q17" t="s">
        <v>54</v>
      </c>
    </row>
    <row r="18" spans="2:29">
      <c r="B18" t="s">
        <v>55</v>
      </c>
      <c r="Q18" t="s">
        <v>55</v>
      </c>
    </row>
    <row r="20" spans="2:29" ht="14" thickBot="1">
      <c r="B20" s="14" t="s">
        <v>24</v>
      </c>
      <c r="C20" s="14"/>
      <c r="D20" s="14"/>
      <c r="E20" s="14"/>
      <c r="F20" s="14"/>
      <c r="G20" s="14"/>
      <c r="H20" s="14"/>
      <c r="I20" s="14"/>
      <c r="J20" s="14"/>
      <c r="K20" s="14"/>
      <c r="L20" s="14"/>
      <c r="M20" s="14"/>
      <c r="N20" s="14"/>
      <c r="Q20" s="14" t="s">
        <v>510</v>
      </c>
      <c r="R20" s="14"/>
      <c r="S20" s="14"/>
      <c r="T20" s="14"/>
      <c r="U20" s="14"/>
      <c r="V20" s="14"/>
      <c r="W20" s="14"/>
      <c r="X20" s="14"/>
      <c r="Y20" s="14"/>
      <c r="Z20" s="14"/>
      <c r="AA20" s="14"/>
      <c r="AB20" s="14"/>
      <c r="AC20" s="14"/>
    </row>
    <row r="21" spans="2:29">
      <c r="B21" s="18" t="s">
        <v>497</v>
      </c>
      <c r="Q21" s="18" t="s">
        <v>506</v>
      </c>
    </row>
    <row r="22" spans="2:29">
      <c r="Q22" t="s">
        <v>507</v>
      </c>
    </row>
    <row r="24" spans="2:29" ht="14" thickBot="1">
      <c r="Q24" s="14" t="s">
        <v>511</v>
      </c>
      <c r="R24" s="14"/>
      <c r="S24" s="14"/>
      <c r="T24" s="14"/>
      <c r="U24" s="14"/>
      <c r="V24" s="14"/>
      <c r="W24" s="14"/>
      <c r="X24" s="14"/>
      <c r="Y24" s="14"/>
      <c r="Z24" s="14"/>
      <c r="AA24" s="14"/>
      <c r="AB24" s="14"/>
      <c r="AC24" s="14"/>
    </row>
    <row r="25" spans="2:29">
      <c r="Q25" s="18" t="s">
        <v>508</v>
      </c>
    </row>
    <row r="26" spans="2:29">
      <c r="Q26" t="s">
        <v>509</v>
      </c>
    </row>
    <row r="27" spans="2:29">
      <c r="Q27" t="s">
        <v>512</v>
      </c>
    </row>
  </sheetData>
  <printOptions headings="1" gridLines="1"/>
  <pageMargins left="0.74803149606299213" right="0.74803149606299213" top="0.98425196850393704" bottom="0.98425196850393704" header="0.51181102362204722" footer="0.51181102362204722"/>
  <pageSetup paperSize="9" scale="36" fitToHeight="5" orientation="portrait" r:id="rId1"/>
  <headerFooter alignWithMargins="0">
    <oddHeader>&amp;LExcel Function Dictionary
© 1998 - 2000 Peter Noneley&amp;R&amp;A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9">
    <tabColor rgb="FF00B050"/>
    <pageSetUpPr fitToPage="1"/>
  </sheetPr>
  <dimension ref="A1:S73"/>
  <sheetViews>
    <sheetView showGridLines="0" workbookViewId="0">
      <pane ySplit="1" topLeftCell="A38" activePane="bottomLeft" state="frozen"/>
      <selection activeCell="K21" sqref="K21"/>
      <selection pane="bottomLeft" activeCell="S84" sqref="S84"/>
    </sheetView>
  </sheetViews>
  <sheetFormatPr baseColWidth="10" defaultColWidth="8.83203125" defaultRowHeight="13"/>
  <cols>
    <col min="1" max="1" width="2.83203125" customWidth="1"/>
    <col min="2" max="2" width="12.5" customWidth="1"/>
    <col min="4" max="4" width="11.5" customWidth="1"/>
    <col min="9" max="9" width="21.1640625" customWidth="1"/>
    <col min="11" max="11" width="2.83203125" customWidth="1"/>
    <col min="12" max="12" width="17" customWidth="1"/>
    <col min="14" max="14" width="11.5" customWidth="1"/>
    <col min="17" max="17" width="10.83203125" customWidth="1"/>
    <col min="19" max="19" width="70.33203125" customWidth="1"/>
  </cols>
  <sheetData>
    <row r="1" spans="1:19" ht="19" thickBot="1">
      <c r="A1" s="1" t="s">
        <v>294</v>
      </c>
      <c r="B1" s="1"/>
      <c r="C1" s="1"/>
      <c r="D1" s="1"/>
      <c r="E1" s="1"/>
      <c r="F1" s="1"/>
      <c r="G1" s="1"/>
      <c r="H1" s="1"/>
      <c r="I1" s="1"/>
      <c r="K1" s="1" t="s">
        <v>600</v>
      </c>
      <c r="L1" s="1"/>
      <c r="M1" s="1"/>
      <c r="N1" s="1"/>
      <c r="O1" s="1"/>
      <c r="P1" s="1"/>
      <c r="Q1" s="1"/>
      <c r="R1" s="1"/>
      <c r="S1" s="1"/>
    </row>
    <row r="2" spans="1:19" ht="14" thickTop="1"/>
    <row r="3" spans="1:19">
      <c r="C3" s="21" t="s">
        <v>57</v>
      </c>
      <c r="D3" s="21" t="s">
        <v>80</v>
      </c>
      <c r="E3" s="21" t="s">
        <v>81</v>
      </c>
      <c r="M3" s="21" t="s">
        <v>57</v>
      </c>
      <c r="N3" s="21" t="s">
        <v>80</v>
      </c>
      <c r="O3" s="21" t="s">
        <v>81</v>
      </c>
    </row>
    <row r="4" spans="1:19">
      <c r="C4" s="2" t="s">
        <v>82</v>
      </c>
      <c r="D4" s="31">
        <v>43101</v>
      </c>
      <c r="E4" s="93">
        <v>80</v>
      </c>
      <c r="M4" s="2" t="s">
        <v>82</v>
      </c>
      <c r="N4" s="31">
        <v>43101</v>
      </c>
      <c r="O4" s="93">
        <v>80</v>
      </c>
    </row>
    <row r="5" spans="1:19">
      <c r="C5" s="2" t="s">
        <v>83</v>
      </c>
      <c r="D5" s="31">
        <v>43230</v>
      </c>
      <c r="E5" s="93">
        <v>25</v>
      </c>
      <c r="M5" s="2" t="s">
        <v>83</v>
      </c>
      <c r="N5" s="31">
        <v>43230</v>
      </c>
      <c r="O5" s="93">
        <v>25</v>
      </c>
    </row>
    <row r="6" spans="1:19">
      <c r="C6" s="2" t="s">
        <v>82</v>
      </c>
      <c r="D6" s="31">
        <v>43132</v>
      </c>
      <c r="E6" s="93">
        <v>80</v>
      </c>
      <c r="M6" s="2" t="s">
        <v>82</v>
      </c>
      <c r="N6" s="31">
        <v>43132</v>
      </c>
      <c r="O6" s="93">
        <v>80</v>
      </c>
    </row>
    <row r="7" spans="1:19">
      <c r="C7" s="2" t="s">
        <v>84</v>
      </c>
      <c r="D7" s="31">
        <v>43160</v>
      </c>
      <c r="E7" s="93">
        <v>150</v>
      </c>
      <c r="M7" s="2" t="s">
        <v>84</v>
      </c>
      <c r="N7" s="31">
        <v>43160</v>
      </c>
      <c r="O7" s="93">
        <v>150</v>
      </c>
    </row>
    <row r="8" spans="1:19">
      <c r="C8" s="2" t="s">
        <v>84</v>
      </c>
      <c r="D8" s="31">
        <v>43105</v>
      </c>
      <c r="E8" s="93">
        <v>300</v>
      </c>
      <c r="M8" s="2" t="s">
        <v>84</v>
      </c>
      <c r="N8" s="31">
        <v>43105</v>
      </c>
      <c r="O8" s="93">
        <v>300</v>
      </c>
    </row>
    <row r="9" spans="1:19">
      <c r="C9" s="2" t="s">
        <v>85</v>
      </c>
      <c r="D9" s="31">
        <v>43252</v>
      </c>
      <c r="E9" s="93">
        <v>50</v>
      </c>
      <c r="M9" s="2" t="s">
        <v>85</v>
      </c>
      <c r="N9" s="31">
        <v>43252</v>
      </c>
      <c r="O9" s="93">
        <v>50</v>
      </c>
    </row>
    <row r="10" spans="1:19">
      <c r="C10" s="2" t="s">
        <v>83</v>
      </c>
      <c r="D10" s="31">
        <v>43191</v>
      </c>
      <c r="E10" s="93">
        <v>200</v>
      </c>
      <c r="M10" s="2" t="s">
        <v>83</v>
      </c>
      <c r="N10" s="31">
        <v>43191</v>
      </c>
      <c r="O10" s="93">
        <v>200</v>
      </c>
    </row>
    <row r="11" spans="1:19">
      <c r="C11" s="2" t="s">
        <v>83</v>
      </c>
      <c r="D11" s="31">
        <v>43160</v>
      </c>
      <c r="E11" s="93">
        <v>100</v>
      </c>
      <c r="M11" s="2" t="s">
        <v>83</v>
      </c>
      <c r="N11" s="31">
        <v>43160</v>
      </c>
      <c r="O11" s="93">
        <v>100</v>
      </c>
    </row>
    <row r="12" spans="1:19">
      <c r="C12" s="2" t="s">
        <v>86</v>
      </c>
      <c r="D12" s="31">
        <v>43221</v>
      </c>
      <c r="E12" s="93">
        <v>250</v>
      </c>
      <c r="M12" s="2" t="s">
        <v>86</v>
      </c>
      <c r="N12" s="31">
        <v>43221</v>
      </c>
      <c r="O12" s="93">
        <v>250</v>
      </c>
    </row>
    <row r="14" spans="1:19">
      <c r="B14" s="37" t="s">
        <v>295</v>
      </c>
      <c r="C14" s="38"/>
      <c r="D14" s="38"/>
      <c r="E14" s="56"/>
      <c r="F14" s="94">
        <f>SUMIF(C4:C12,"Brakes",E4:E12)</f>
        <v>160</v>
      </c>
      <c r="G14" s="123" t="str">
        <f ca="1">_xlfn.FORMULATEXT(F14)</f>
        <v>=SUMIF(C4:C12,"Brakes",E4:E12)</v>
      </c>
      <c r="L14" s="90" t="s">
        <v>627</v>
      </c>
      <c r="M14" s="91"/>
      <c r="N14" s="92"/>
      <c r="O14" s="93">
        <v>200</v>
      </c>
      <c r="Q14" s="60"/>
    </row>
    <row r="15" spans="1:19">
      <c r="B15" s="37" t="s">
        <v>296</v>
      </c>
      <c r="C15" s="38"/>
      <c r="D15" s="38"/>
      <c r="E15" s="56"/>
      <c r="F15" s="94">
        <f>SUMIF(C4:C12,"Tyres",E4:E12)</f>
        <v>325</v>
      </c>
      <c r="G15" s="123" t="str">
        <f ca="1">_xlfn.FORMULATEXT(F15)</f>
        <v>=SUMIF(C4:C12,"Tyres",E4:E12)</v>
      </c>
      <c r="L15" s="88"/>
      <c r="M15" s="89"/>
      <c r="N15" s="89" t="s">
        <v>604</v>
      </c>
      <c r="O15" s="2" t="s">
        <v>89</v>
      </c>
      <c r="P15" s="265">
        <f>SUMIFS($O$4:$O$12,$O$4:$O$12,"&gt;="&amp;O14,$M$4:$M$12,O15)</f>
        <v>300</v>
      </c>
      <c r="Q15" s="123" t="str">
        <f ca="1">_xlfn.FORMULATEXT(P15)</f>
        <v>=SUMIFS($O$4:$O$12,$O$4:$O$12,"&gt;="&amp;O14,$M$4:$M$12,O15)</v>
      </c>
    </row>
    <row r="17" spans="2:19">
      <c r="B17" s="57" t="s">
        <v>606</v>
      </c>
      <c r="C17" s="38"/>
      <c r="D17" s="38"/>
      <c r="E17" s="2" t="s">
        <v>89</v>
      </c>
      <c r="F17" s="94">
        <f>SUMIF($C$4:$C$12,E17,$E$4:$E$12)</f>
        <v>450</v>
      </c>
      <c r="G17" s="123" t="str">
        <f ca="1">_xlfn.FORMULATEXT(F17)</f>
        <v>=SUMIF($C$4:$C$12,E17,$E$4:$E$12)</v>
      </c>
      <c r="L17" s="90" t="s">
        <v>627</v>
      </c>
      <c r="M17" s="91"/>
      <c r="N17" s="92"/>
      <c r="O17" s="93">
        <v>100</v>
      </c>
      <c r="Q17" s="60"/>
    </row>
    <row r="18" spans="2:19">
      <c r="B18" s="37" t="s">
        <v>627</v>
      </c>
      <c r="C18" s="38"/>
      <c r="D18" s="38"/>
      <c r="E18" s="93">
        <v>200</v>
      </c>
      <c r="F18" s="94">
        <f>SUMIF(E4:E12,"&gt;"&amp;E18)</f>
        <v>550</v>
      </c>
      <c r="G18" s="123" t="str">
        <f ca="1">_xlfn.FORMULATEXT(F18)</f>
        <v>=SUMIF(E4:E12,"&gt;"&amp;E18)</v>
      </c>
      <c r="L18" s="88"/>
      <c r="M18" s="89"/>
      <c r="N18" s="89" t="s">
        <v>605</v>
      </c>
      <c r="O18" s="31">
        <v>43191</v>
      </c>
      <c r="P18" s="265">
        <f>SUMIFS($O$4:$O$12,$O$4:$O$12,"&gt;="&amp;O17,$N$4:$N$12,"&lt;"&amp;O18)</f>
        <v>550</v>
      </c>
      <c r="Q18" s="123" t="str">
        <f ca="1">_xlfn.FORMULATEXT(P18)</f>
        <v>=SUMIFS($O$4:$O$12,$O$4:$O$12,"&gt;="&amp;O17,$N$4:$N$12,"&lt;"&amp;O18)</v>
      </c>
    </row>
    <row r="20" spans="2:19" ht="14" thickBot="1">
      <c r="B20" s="14" t="s">
        <v>29</v>
      </c>
      <c r="C20" s="14"/>
      <c r="D20" s="14"/>
      <c r="E20" s="14"/>
      <c r="F20" s="14"/>
      <c r="G20" s="14"/>
      <c r="H20" s="14"/>
      <c r="I20" s="14"/>
      <c r="L20" s="14" t="s">
        <v>29</v>
      </c>
      <c r="M20" s="14"/>
      <c r="N20" s="14"/>
      <c r="O20" s="14"/>
      <c r="P20" s="14"/>
      <c r="Q20" s="14"/>
      <c r="R20" s="14"/>
      <c r="S20" s="14"/>
    </row>
    <row r="21" spans="2:19">
      <c r="B21" t="s">
        <v>601</v>
      </c>
      <c r="L21" t="s">
        <v>602</v>
      </c>
    </row>
    <row r="23" spans="2:19" ht="14" thickBot="1">
      <c r="B23" s="14" t="s">
        <v>24</v>
      </c>
      <c r="C23" s="14"/>
      <c r="D23" s="14"/>
      <c r="E23" s="14"/>
      <c r="F23" s="14"/>
      <c r="G23" s="14"/>
      <c r="H23" s="14"/>
      <c r="I23" s="14"/>
      <c r="L23" s="14" t="s">
        <v>24</v>
      </c>
      <c r="M23" s="14"/>
      <c r="N23" s="14"/>
      <c r="O23" s="14"/>
      <c r="P23" s="14"/>
      <c r="Q23" s="14"/>
      <c r="R23" s="14"/>
      <c r="S23" s="14"/>
    </row>
    <row r="24" spans="2:19">
      <c r="B24" s="26" t="s">
        <v>505</v>
      </c>
      <c r="L24" s="26" t="s">
        <v>603</v>
      </c>
    </row>
    <row r="26" spans="2:19">
      <c r="B26" s="18" t="s">
        <v>299</v>
      </c>
      <c r="E26" t="s">
        <v>300</v>
      </c>
      <c r="L26" s="71" t="s">
        <v>614</v>
      </c>
    </row>
    <row r="27" spans="2:19">
      <c r="E27" t="s">
        <v>301</v>
      </c>
    </row>
    <row r="28" spans="2:19">
      <c r="E28" t="s">
        <v>598</v>
      </c>
      <c r="L28" s="18" t="s">
        <v>607</v>
      </c>
      <c r="Q28" t="s">
        <v>609</v>
      </c>
    </row>
    <row r="29" spans="2:19">
      <c r="Q29" t="s">
        <v>610</v>
      </c>
    </row>
    <row r="30" spans="2:19">
      <c r="B30" s="18" t="s">
        <v>298</v>
      </c>
      <c r="E30" t="s">
        <v>300</v>
      </c>
      <c r="Q30" t="s">
        <v>611</v>
      </c>
    </row>
    <row r="31" spans="2:19">
      <c r="B31" s="18"/>
      <c r="E31" t="s">
        <v>599</v>
      </c>
    </row>
    <row r="32" spans="2:19">
      <c r="B32" s="18"/>
      <c r="E32" t="s">
        <v>598</v>
      </c>
      <c r="L32" s="18" t="s">
        <v>608</v>
      </c>
      <c r="Q32" t="s">
        <v>612</v>
      </c>
    </row>
    <row r="33" spans="2:19">
      <c r="Q33" t="s">
        <v>613</v>
      </c>
    </row>
    <row r="34" spans="2:19">
      <c r="B34" t="s">
        <v>297</v>
      </c>
      <c r="E34" t="s">
        <v>302</v>
      </c>
      <c r="Q34" t="s">
        <v>611</v>
      </c>
    </row>
    <row r="35" spans="2:19">
      <c r="E35" t="s">
        <v>303</v>
      </c>
    </row>
    <row r="36" spans="2:19">
      <c r="L36" t="s">
        <v>691</v>
      </c>
    </row>
    <row r="37" spans="2:19">
      <c r="B37" s="18" t="s">
        <v>596</v>
      </c>
      <c r="E37" t="s">
        <v>302</v>
      </c>
    </row>
    <row r="38" spans="2:19">
      <c r="E38" t="s">
        <v>597</v>
      </c>
    </row>
    <row r="40" spans="2:19">
      <c r="B40" t="s">
        <v>616</v>
      </c>
    </row>
    <row r="41" spans="2:19">
      <c r="B41" t="s">
        <v>615</v>
      </c>
    </row>
    <row r="43" spans="2:19">
      <c r="B43" t="s">
        <v>617</v>
      </c>
    </row>
    <row r="44" spans="2:19">
      <c r="B44" t="s">
        <v>618</v>
      </c>
    </row>
    <row r="46" spans="2:19" ht="14" thickBot="1">
      <c r="B46" s="14" t="s">
        <v>620</v>
      </c>
      <c r="C46" s="14"/>
      <c r="D46" s="14"/>
      <c r="E46" s="14"/>
      <c r="F46" s="14"/>
      <c r="G46" s="14"/>
      <c r="H46" s="14"/>
      <c r="I46" s="14"/>
      <c r="L46" s="14" t="s">
        <v>1161</v>
      </c>
      <c r="M46" s="14"/>
      <c r="N46" s="14"/>
      <c r="O46" s="14"/>
      <c r="P46" s="14"/>
      <c r="Q46" s="14"/>
      <c r="R46" s="14"/>
      <c r="S46" s="14"/>
    </row>
    <row r="47" spans="2:19">
      <c r="B47" t="s">
        <v>1201</v>
      </c>
      <c r="L47" t="s">
        <v>1189</v>
      </c>
    </row>
    <row r="48" spans="2:19">
      <c r="B48" t="s">
        <v>619</v>
      </c>
      <c r="L48" t="s">
        <v>1169</v>
      </c>
    </row>
    <row r="49" spans="2:17">
      <c r="L49" t="s">
        <v>1170</v>
      </c>
    </row>
    <row r="50" spans="2:17">
      <c r="B50" t="s">
        <v>623</v>
      </c>
    </row>
    <row r="51" spans="2:17">
      <c r="L51" s="87" t="s">
        <v>1171</v>
      </c>
      <c r="M51" s="5" t="s">
        <v>1172</v>
      </c>
      <c r="N51" s="5" t="s">
        <v>1173</v>
      </c>
      <c r="O51" s="5" t="s">
        <v>1174</v>
      </c>
      <c r="Q51" s="5" t="s">
        <v>1176</v>
      </c>
    </row>
    <row r="52" spans="2:17">
      <c r="C52" s="5" t="s">
        <v>33</v>
      </c>
      <c r="D52" s="5" t="s">
        <v>587</v>
      </c>
      <c r="L52" s="247" t="s">
        <v>1160</v>
      </c>
      <c r="M52" s="107">
        <v>150</v>
      </c>
      <c r="N52" s="107">
        <v>160</v>
      </c>
      <c r="O52" s="107">
        <v>180</v>
      </c>
      <c r="Q52" s="247" t="s">
        <v>1134</v>
      </c>
    </row>
    <row r="53" spans="2:17">
      <c r="C53" s="2" t="s">
        <v>588</v>
      </c>
      <c r="D53" s="2">
        <v>15</v>
      </c>
      <c r="L53" s="247" t="s">
        <v>1159</v>
      </c>
      <c r="M53" s="107">
        <v>540</v>
      </c>
      <c r="N53" s="107">
        <v>120</v>
      </c>
      <c r="O53" s="107">
        <v>680</v>
      </c>
      <c r="Q53" s="247" t="s">
        <v>1134</v>
      </c>
    </row>
    <row r="54" spans="2:17">
      <c r="C54" s="2" t="s">
        <v>589</v>
      </c>
      <c r="D54" s="2">
        <v>14</v>
      </c>
      <c r="L54" s="247" t="s">
        <v>1133</v>
      </c>
      <c r="M54" s="107">
        <v>300</v>
      </c>
      <c r="N54" s="107">
        <v>310</v>
      </c>
      <c r="O54" s="107">
        <v>320</v>
      </c>
      <c r="Q54" s="247" t="s">
        <v>1133</v>
      </c>
    </row>
    <row r="55" spans="2:17">
      <c r="C55" s="2" t="s">
        <v>590</v>
      </c>
      <c r="D55" s="2">
        <v>18</v>
      </c>
      <c r="L55" s="247" t="s">
        <v>1162</v>
      </c>
      <c r="M55" s="107">
        <v>210</v>
      </c>
      <c r="N55" s="107">
        <v>240</v>
      </c>
      <c r="O55" s="107">
        <v>260</v>
      </c>
      <c r="Q55" s="247" t="s">
        <v>1132</v>
      </c>
    </row>
    <row r="56" spans="2:17">
      <c r="C56" s="2" t="s">
        <v>592</v>
      </c>
      <c r="D56" s="2">
        <v>13</v>
      </c>
      <c r="L56" s="247" t="s">
        <v>1163</v>
      </c>
      <c r="M56" s="107">
        <v>180</v>
      </c>
      <c r="N56" s="107">
        <v>185</v>
      </c>
      <c r="O56" s="107">
        <v>200</v>
      </c>
      <c r="Q56" s="247" t="s">
        <v>1132</v>
      </c>
    </row>
    <row r="57" spans="2:17">
      <c r="C57" s="2" t="s">
        <v>591</v>
      </c>
      <c r="D57" s="2">
        <v>14</v>
      </c>
      <c r="L57" s="247" t="s">
        <v>1164</v>
      </c>
      <c r="M57" s="107">
        <v>150</v>
      </c>
      <c r="N57" s="107">
        <v>130</v>
      </c>
      <c r="O57" s="107">
        <v>130</v>
      </c>
      <c r="Q57" s="247" t="s">
        <v>1132</v>
      </c>
    </row>
    <row r="58" spans="2:17">
      <c r="L58" s="247" t="s">
        <v>1165</v>
      </c>
      <c r="M58" s="107">
        <v>100</v>
      </c>
      <c r="N58" s="107">
        <v>110</v>
      </c>
      <c r="O58" s="107">
        <v>140</v>
      </c>
      <c r="Q58" s="247" t="s">
        <v>1132</v>
      </c>
    </row>
    <row r="59" spans="2:17">
      <c r="B59" s="87" t="s">
        <v>593</v>
      </c>
      <c r="C59" s="2" t="s">
        <v>589</v>
      </c>
      <c r="D59" s="2" t="s">
        <v>594</v>
      </c>
      <c r="L59" s="247" t="s">
        <v>1166</v>
      </c>
      <c r="M59" s="107">
        <v>120</v>
      </c>
      <c r="N59" s="107">
        <v>150</v>
      </c>
      <c r="O59" s="107">
        <v>160</v>
      </c>
      <c r="Q59" s="247" t="s">
        <v>1137</v>
      </c>
    </row>
    <row r="60" spans="2:17">
      <c r="B60" s="87" t="s">
        <v>587</v>
      </c>
      <c r="C60" s="3">
        <f>INDEX($D$53:$D$57,MATCH(C$59,$C$53:$C$57,0))</f>
        <v>14</v>
      </c>
      <c r="D60" s="3" t="e">
        <f>INDEX($D$53:$D$57,MATCH(D$59,$C$53:$C$57,0))</f>
        <v>#N/A</v>
      </c>
      <c r="E60" s="123" t="str">
        <f ca="1">_xlfn.FORMULATEXT(D60)</f>
        <v>=INDEX($D$53:$D$57,MATCH(D$59,$C$53:$C$57,0))</v>
      </c>
      <c r="L60" s="247" t="s">
        <v>1167</v>
      </c>
      <c r="M60" s="107">
        <v>90</v>
      </c>
      <c r="N60" s="107">
        <v>90</v>
      </c>
      <c r="O60" s="107">
        <v>90</v>
      </c>
      <c r="Q60" s="247" t="s">
        <v>1137</v>
      </c>
    </row>
    <row r="61" spans="2:17">
      <c r="B61" s="87" t="s">
        <v>587</v>
      </c>
      <c r="C61" s="258">
        <f>SUMIF($C$53:$C$57,C$59,$D$53:$D$57)</f>
        <v>14</v>
      </c>
      <c r="D61" s="258">
        <f>SUMIF($C$53:$C$57,D$59,$D$53:$D$57)</f>
        <v>0</v>
      </c>
      <c r="E61" s="123" t="str">
        <f ca="1">_xlfn.FORMULATEXT(D61)</f>
        <v>=SUMIF($C$53:$C$57,D$59,$D$53:$D$57)</v>
      </c>
      <c r="L61" s="247" t="s">
        <v>1168</v>
      </c>
      <c r="M61" s="107">
        <v>50</v>
      </c>
      <c r="N61" s="107">
        <v>90</v>
      </c>
      <c r="O61" s="107">
        <v>95</v>
      </c>
      <c r="Q61" s="247" t="s">
        <v>1137</v>
      </c>
    </row>
    <row r="62" spans="2:17" ht="14" thickBot="1">
      <c r="L62" s="248" t="s">
        <v>1175</v>
      </c>
      <c r="M62" s="250">
        <v>125</v>
      </c>
      <c r="N62" s="250">
        <v>135</v>
      </c>
      <c r="O62" s="250">
        <v>140</v>
      </c>
      <c r="Q62" s="247" t="s">
        <v>1137</v>
      </c>
    </row>
    <row r="63" spans="2:17" ht="14" thickTop="1">
      <c r="B63" t="s">
        <v>621</v>
      </c>
      <c r="L63" s="249" t="s">
        <v>23</v>
      </c>
      <c r="M63" s="251">
        <f>SUM(M52:M62)</f>
        <v>2015</v>
      </c>
      <c r="N63" s="251">
        <f t="shared" ref="N63:O63" si="0">SUM(N52:N62)</f>
        <v>1720</v>
      </c>
      <c r="O63" s="251">
        <f t="shared" si="0"/>
        <v>2395</v>
      </c>
    </row>
    <row r="64" spans="2:17">
      <c r="B64" t="s">
        <v>622</v>
      </c>
    </row>
    <row r="66" spans="2:16">
      <c r="B66" s="70" t="s">
        <v>1202</v>
      </c>
      <c r="L66" s="87" t="s">
        <v>1177</v>
      </c>
      <c r="M66" s="5" t="str">
        <f>M51</f>
        <v>Year 1</v>
      </c>
      <c r="N66" s="5" t="str">
        <f>N51</f>
        <v>Year 2</v>
      </c>
      <c r="O66" s="5" t="str">
        <f>O51</f>
        <v>Year 3</v>
      </c>
    </row>
    <row r="67" spans="2:16">
      <c r="B67" t="s">
        <v>1203</v>
      </c>
      <c r="L67" s="247" t="s">
        <v>1132</v>
      </c>
      <c r="M67" s="108">
        <f>SUMIFS(M$52:M$62,$Q$52:$Q$62,$L67)</f>
        <v>640</v>
      </c>
      <c r="N67" s="108">
        <f t="shared" ref="N67:O70" si="1">SUMIFS(N$52:N$62,$Q$52:$Q$62,$L67)</f>
        <v>665</v>
      </c>
      <c r="O67" s="108">
        <f t="shared" si="1"/>
        <v>730</v>
      </c>
      <c r="P67" s="123" t="str">
        <f t="shared" ref="P67:P70" ca="1" si="2">_xlfn.FORMULATEXT(O67)</f>
        <v>=SUMIFS(O$52:O$62,$Q$52:$Q$62,$L67)</v>
      </c>
    </row>
    <row r="68" spans="2:16">
      <c r="L68" s="247" t="s">
        <v>1134</v>
      </c>
      <c r="M68" s="108">
        <f t="shared" ref="M68:M70" si="3">SUMIFS(M$52:M$62,$Q$52:$Q$62,$L68)</f>
        <v>690</v>
      </c>
      <c r="N68" s="108">
        <f t="shared" si="1"/>
        <v>280</v>
      </c>
      <c r="O68" s="108">
        <f t="shared" si="1"/>
        <v>860</v>
      </c>
      <c r="P68" s="123" t="str">
        <f t="shared" ca="1" si="2"/>
        <v>=SUMIFS(O$52:O$62,$Q$52:$Q$62,$L68)</v>
      </c>
    </row>
    <row r="69" spans="2:16">
      <c r="L69" s="247" t="s">
        <v>1133</v>
      </c>
      <c r="M69" s="108">
        <f t="shared" si="3"/>
        <v>300</v>
      </c>
      <c r="N69" s="108">
        <f t="shared" si="1"/>
        <v>310</v>
      </c>
      <c r="O69" s="108">
        <f t="shared" si="1"/>
        <v>320</v>
      </c>
      <c r="P69" s="123" t="str">
        <f t="shared" ca="1" si="2"/>
        <v>=SUMIFS(O$52:O$62,$Q$52:$Q$62,$L69)</v>
      </c>
    </row>
    <row r="70" spans="2:16" ht="14" thickBot="1">
      <c r="L70" s="247" t="s">
        <v>1137</v>
      </c>
      <c r="M70" s="252">
        <f t="shared" si="3"/>
        <v>385</v>
      </c>
      <c r="N70" s="252">
        <f t="shared" si="1"/>
        <v>465</v>
      </c>
      <c r="O70" s="252">
        <f t="shared" si="1"/>
        <v>485</v>
      </c>
      <c r="P70" s="123" t="str">
        <f t="shared" ca="1" si="2"/>
        <v>=SUMIFS(O$52:O$62,$Q$52:$Q$62,$L70)</v>
      </c>
    </row>
    <row r="71" spans="2:16" ht="14" thickTop="1">
      <c r="L71" s="249" t="s">
        <v>23</v>
      </c>
      <c r="M71" s="253">
        <f>SUM(M67:M70)</f>
        <v>2015</v>
      </c>
      <c r="N71" s="253">
        <f t="shared" ref="N71:O71" si="4">SUM(N67:N70)</f>
        <v>1720</v>
      </c>
      <c r="O71" s="253">
        <f t="shared" si="4"/>
        <v>2395</v>
      </c>
      <c r="P71" s="123"/>
    </row>
    <row r="73" spans="2:16">
      <c r="L73" t="s">
        <v>1178</v>
      </c>
      <c r="M73" s="133">
        <f>--(ROUND(M71-M63,3)&lt;&gt;0)</f>
        <v>0</v>
      </c>
      <c r="N73" s="133">
        <f>--(ROUND(N71-N63,3)&lt;&gt;0)</f>
        <v>0</v>
      </c>
      <c r="O73" s="133">
        <f>--(ROUND(O71-O63,3)&lt;&gt;0)</f>
        <v>0</v>
      </c>
    </row>
  </sheetData>
  <dataValidations disablePrompts="1" count="1">
    <dataValidation type="list" allowBlank="1" showInputMessage="1" showErrorMessage="1" sqref="Q52:Q62" xr:uid="{00000000-0002-0000-1600-000000000000}">
      <formula1>$L$67:$L$70</formula1>
    </dataValidation>
  </dataValidations>
  <printOptions headings="1" gridLines="1"/>
  <pageMargins left="0.74803149606299213" right="0.74803149606299213" top="0.98425196850393704" bottom="0.98425196850393704" header="0.51181102362204722" footer="0.51181102362204722"/>
  <pageSetup paperSize="9" scale="36" fitToHeight="5" orientation="portrait" r:id="rId1"/>
  <headerFooter alignWithMargins="0">
    <oddHeader>&amp;LExcel Function Dictionary
© 1998 - 2000 Peter Noneley&amp;R&amp;A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N79"/>
  <sheetViews>
    <sheetView showGridLines="0" zoomScale="90" zoomScaleNormal="90" workbookViewId="0">
      <pane ySplit="1" topLeftCell="A44" activePane="bottomLeft" state="frozen"/>
      <selection activeCell="K21" sqref="K21"/>
      <selection pane="bottomLeft" activeCell="F79" sqref="F79"/>
    </sheetView>
  </sheetViews>
  <sheetFormatPr baseColWidth="10" defaultColWidth="8.83203125" defaultRowHeight="13"/>
  <cols>
    <col min="1" max="1" width="2.83203125" customWidth="1"/>
    <col min="2" max="2" width="4.33203125" customWidth="1"/>
    <col min="3" max="3" width="18.1640625" customWidth="1"/>
    <col min="5" max="5" width="10.1640625" bestFit="1" customWidth="1"/>
    <col min="6" max="6" width="8.83203125" customWidth="1"/>
    <col min="8" max="8" width="13.1640625" customWidth="1"/>
    <col min="9" max="9" width="10.83203125" customWidth="1"/>
    <col min="13" max="13" width="11.5" customWidth="1"/>
    <col min="14" max="14" width="21.33203125" customWidth="1"/>
  </cols>
  <sheetData>
    <row r="1" spans="1:14" ht="19" thickBot="1">
      <c r="A1" s="1" t="s">
        <v>540</v>
      </c>
      <c r="B1" s="1"/>
      <c r="C1" s="1"/>
      <c r="D1" s="1"/>
      <c r="E1" s="1"/>
      <c r="F1" s="1"/>
      <c r="G1" s="1"/>
      <c r="H1" s="1"/>
      <c r="I1" s="1"/>
      <c r="J1" s="1"/>
      <c r="K1" s="1"/>
      <c r="L1" s="1"/>
      <c r="M1" s="1"/>
      <c r="N1" s="1"/>
    </row>
    <row r="2" spans="1:14" ht="14" thickTop="1"/>
    <row r="3" spans="1:14">
      <c r="C3" s="21" t="s">
        <v>57</v>
      </c>
      <c r="D3" s="21" t="s">
        <v>624</v>
      </c>
      <c r="E3" s="21" t="s">
        <v>625</v>
      </c>
      <c r="F3" s="21" t="s">
        <v>1148</v>
      </c>
      <c r="G3" s="21" t="s">
        <v>629</v>
      </c>
    </row>
    <row r="4" spans="1:14">
      <c r="C4" s="2" t="s">
        <v>82</v>
      </c>
      <c r="D4" s="93">
        <v>80</v>
      </c>
      <c r="E4" s="2">
        <v>2</v>
      </c>
      <c r="F4" s="2" t="s">
        <v>628</v>
      </c>
      <c r="G4" s="95">
        <f>--(F4=G$3)</f>
        <v>0</v>
      </c>
    </row>
    <row r="5" spans="1:14">
      <c r="C5" s="2" t="s">
        <v>82</v>
      </c>
      <c r="D5" s="93">
        <v>90</v>
      </c>
      <c r="E5" s="2">
        <v>4</v>
      </c>
      <c r="F5" s="2" t="s">
        <v>629</v>
      </c>
      <c r="G5" s="95">
        <f t="shared" ref="G5:G10" si="0">--(F5=G$3)</f>
        <v>1</v>
      </c>
    </row>
    <row r="6" spans="1:14">
      <c r="C6" s="2" t="s">
        <v>83</v>
      </c>
      <c r="D6" s="93">
        <v>35</v>
      </c>
      <c r="E6" s="2">
        <v>10</v>
      </c>
      <c r="F6" s="2" t="s">
        <v>629</v>
      </c>
      <c r="G6" s="95">
        <f t="shared" si="0"/>
        <v>1</v>
      </c>
    </row>
    <row r="7" spans="1:14">
      <c r="C7" s="2" t="s">
        <v>83</v>
      </c>
      <c r="D7" s="93">
        <v>25</v>
      </c>
      <c r="E7" s="2">
        <v>6</v>
      </c>
      <c r="F7" s="2" t="s">
        <v>628</v>
      </c>
      <c r="G7" s="95">
        <f t="shared" si="0"/>
        <v>0</v>
      </c>
    </row>
    <row r="8" spans="1:14">
      <c r="C8" s="2" t="s">
        <v>85</v>
      </c>
      <c r="D8" s="93">
        <v>50</v>
      </c>
      <c r="E8" s="2">
        <v>4</v>
      </c>
      <c r="F8" s="2" t="s">
        <v>629</v>
      </c>
      <c r="G8" s="95">
        <f t="shared" si="0"/>
        <v>1</v>
      </c>
    </row>
    <row r="9" spans="1:14">
      <c r="C9" s="2" t="s">
        <v>85</v>
      </c>
      <c r="D9" s="93">
        <v>50</v>
      </c>
      <c r="E9" s="2">
        <v>5</v>
      </c>
      <c r="F9" s="2" t="s">
        <v>628</v>
      </c>
      <c r="G9" s="95">
        <f t="shared" si="0"/>
        <v>0</v>
      </c>
    </row>
    <row r="10" spans="1:14">
      <c r="C10" s="2" t="s">
        <v>86</v>
      </c>
      <c r="D10" s="93">
        <v>250</v>
      </c>
      <c r="E10" s="2">
        <v>1</v>
      </c>
      <c r="F10" s="2" t="s">
        <v>629</v>
      </c>
      <c r="G10" s="95">
        <f t="shared" si="0"/>
        <v>1</v>
      </c>
      <c r="H10" s="123" t="str">
        <f ca="1">_xlfn.FORMULATEXT(G10)</f>
        <v>=--(F10=G$3)</v>
      </c>
    </row>
    <row r="12" spans="1:14">
      <c r="C12" s="37" t="s">
        <v>626</v>
      </c>
      <c r="D12" s="38"/>
      <c r="E12" s="38"/>
      <c r="F12" s="38"/>
      <c r="G12" s="94">
        <f>SUMPRODUCT(D4:D10,E4:E10)</f>
        <v>1720</v>
      </c>
      <c r="H12" s="123" t="str">
        <f ca="1">_xlfn.FORMULATEXT(G12)</f>
        <v>=SUMPRODUCT(D4:D10,E4:E10)</v>
      </c>
    </row>
    <row r="13" spans="1:14">
      <c r="C13" s="37" t="s">
        <v>630</v>
      </c>
      <c r="D13" s="38"/>
      <c r="E13" s="38"/>
      <c r="F13" s="38"/>
      <c r="G13" s="94">
        <f>SUMPRODUCT(D4:D10,E4:E10,G4:G10)</f>
        <v>1160</v>
      </c>
      <c r="H13" s="123" t="str">
        <f ca="1">_xlfn.FORMULATEXT(G13)</f>
        <v>=SUMPRODUCT(D4:D10,E4:E10,G4:G10)</v>
      </c>
    </row>
    <row r="15" spans="1:14" ht="14" thickBot="1">
      <c r="B15" s="14" t="s">
        <v>29</v>
      </c>
      <c r="C15" s="14"/>
      <c r="D15" s="14"/>
      <c r="E15" s="14"/>
      <c r="F15" s="14"/>
      <c r="G15" s="14"/>
      <c r="H15" s="14"/>
      <c r="I15" s="14"/>
      <c r="J15" s="14"/>
      <c r="K15" s="14"/>
      <c r="L15" s="14"/>
      <c r="M15" s="14"/>
      <c r="N15" s="14"/>
    </row>
    <row r="16" spans="1:14">
      <c r="B16" t="s">
        <v>632</v>
      </c>
    </row>
    <row r="17" spans="2:14">
      <c r="B17" t="s">
        <v>633</v>
      </c>
    </row>
    <row r="18" spans="2:14">
      <c r="B18" t="s">
        <v>692</v>
      </c>
    </row>
    <row r="20" spans="2:14" ht="14" thickBot="1">
      <c r="B20" s="14" t="s">
        <v>24</v>
      </c>
      <c r="C20" s="14"/>
      <c r="D20" s="14"/>
      <c r="E20" s="14"/>
      <c r="F20" s="14"/>
      <c r="G20" s="14"/>
      <c r="H20" s="14"/>
      <c r="I20" s="14"/>
      <c r="J20" s="14"/>
      <c r="K20" s="14"/>
      <c r="L20" s="14"/>
      <c r="M20" s="14"/>
      <c r="N20" s="14"/>
    </row>
    <row r="21" spans="2:14">
      <c r="B21" s="26" t="s">
        <v>631</v>
      </c>
    </row>
    <row r="22" spans="2:14">
      <c r="B22" t="s">
        <v>634</v>
      </c>
    </row>
    <row r="24" spans="2:14" ht="14" thickBot="1">
      <c r="B24" s="14" t="s">
        <v>639</v>
      </c>
      <c r="C24" s="14"/>
      <c r="D24" s="14"/>
      <c r="E24" s="14"/>
      <c r="F24" s="14"/>
      <c r="G24" s="14"/>
      <c r="H24" s="14"/>
      <c r="I24" s="14"/>
      <c r="J24" s="14"/>
      <c r="K24" s="14"/>
      <c r="L24" s="14"/>
      <c r="M24" s="14"/>
      <c r="N24" s="14"/>
    </row>
    <row r="26" spans="2:14">
      <c r="F26" s="2" t="s">
        <v>85</v>
      </c>
      <c r="G26" s="2" t="s">
        <v>83</v>
      </c>
    </row>
    <row r="27" spans="2:14">
      <c r="C27" s="37" t="s">
        <v>635</v>
      </c>
      <c r="D27" s="38"/>
      <c r="E27" s="38"/>
      <c r="F27" s="94">
        <f>SUMPRODUCT($D$4:$D$10,$E$4:$E$10,--($C$4:$C$10=F$26))</f>
        <v>450</v>
      </c>
      <c r="G27" s="94">
        <f t="shared" ref="G27" si="1">SUMPRODUCT($D$4:$D$10,$E$4:$E$10,--($C$4:$C$10=G$26))</f>
        <v>500</v>
      </c>
      <c r="H27" s="123" t="str">
        <f ca="1">_xlfn.FORMULATEXT(G27)</f>
        <v>=SUMPRODUCT($D$4:$D$10,$E$4:$E$10,--($C$4:$C$10=G$26))</v>
      </c>
    </row>
    <row r="28" spans="2:14">
      <c r="C28" s="37" t="s">
        <v>636</v>
      </c>
      <c r="D28" s="38"/>
      <c r="E28" s="38"/>
      <c r="F28" s="94">
        <f>SUMPRODUCT($D$4:$D$10,$E$4:$E$10,--($C$4:$C$10=F$26))/SUMIFS($E$4:$E$10,$C$4:$C$10,F$26)</f>
        <v>50</v>
      </c>
      <c r="G28" s="94">
        <f t="shared" ref="G28" si="2">SUMPRODUCT($D$4:$D$10,$E$4:$E$10,--($C$4:$C$10=G$26))/SUMIFS($E$4:$E$10,$C$4:$C$10,G$26)</f>
        <v>31.25</v>
      </c>
      <c r="H28" s="123" t="str">
        <f ca="1">_xlfn.FORMULATEXT(G28)</f>
        <v>=SUMPRODUCT($D$4:$D$10,$E$4:$E$10,--($C$4:$C$10=G$26))/SUMIFS($E$4:$E$10,$C$4:$C$10,G$26)</v>
      </c>
    </row>
    <row r="30" spans="2:14">
      <c r="B30" t="s">
        <v>637</v>
      </c>
    </row>
    <row r="31" spans="2:14">
      <c r="C31" t="s">
        <v>638</v>
      </c>
    </row>
    <row r="33" spans="2:14">
      <c r="B33" t="s">
        <v>1150</v>
      </c>
    </row>
    <row r="35" spans="2:14" ht="14" thickBot="1">
      <c r="B35" s="14" t="s">
        <v>1149</v>
      </c>
      <c r="C35" s="14"/>
      <c r="D35" s="14"/>
      <c r="E35" s="14"/>
      <c r="F35" s="14"/>
      <c r="G35" s="14"/>
      <c r="H35" s="14"/>
      <c r="I35" s="14"/>
      <c r="J35" s="14"/>
      <c r="K35" s="14"/>
      <c r="L35" s="14"/>
      <c r="M35" s="14"/>
      <c r="N35" s="14"/>
    </row>
    <row r="37" spans="2:14">
      <c r="C37" t="s">
        <v>640</v>
      </c>
      <c r="F37" s="93">
        <v>80</v>
      </c>
      <c r="G37" s="94">
        <f>SUMPRODUCT($D$4:$D$10,$E$4:$E$10,--($D$4:$D$10&lt;$F37))</f>
        <v>950</v>
      </c>
      <c r="H37" s="123" t="str">
        <f ca="1">_xlfn.FORMULATEXT(G37)</f>
        <v>=SUMPRODUCT($D$4:$D$10,$E$4:$E$10,--($D$4:$D$10&lt;$F37))</v>
      </c>
    </row>
    <row r="39" spans="2:14">
      <c r="C39" t="s">
        <v>1146</v>
      </c>
      <c r="E39" s="2" t="s">
        <v>628</v>
      </c>
      <c r="F39" s="4" t="s">
        <v>1147</v>
      </c>
    </row>
    <row r="40" spans="2:14">
      <c r="D40" t="s">
        <v>1145</v>
      </c>
      <c r="F40" s="93">
        <v>50</v>
      </c>
      <c r="G40" s="94">
        <f>SUMPRODUCT($D$4:$D$10,$E$4:$E$10,--($F$4:$F$10=E39),--($D$4:$D$10&gt;=F40))</f>
        <v>410</v>
      </c>
      <c r="H40" s="123" t="str">
        <f ca="1">_xlfn.FORMULATEXT(G40)</f>
        <v>=SUMPRODUCT($D$4:$D$10,$E$4:$E$10,--($F$4:$F$10=E39),--($D$4:$D$10&gt;=F40))</v>
      </c>
    </row>
    <row r="42" spans="2:14">
      <c r="C42" t="str">
        <f>"Average value in "&amp;E39&amp; " branch, worth at least $"&amp;F40</f>
        <v>Average value in Suburbs branch, worth at least $50</v>
      </c>
    </row>
    <row r="43" spans="2:14">
      <c r="E43" s="265">
        <f>SUMPRODUCT($D$4:$D$10,$E$4:$E$10,--($F$4:$F$10=E39),--($D$4:$D$10&gt;=F40))/SUMIFS($E$4:$E$10,$D$4:$D$10,"&gt;="&amp;F40,$F$4:$F$10,E39)</f>
        <v>58.571428571428569</v>
      </c>
      <c r="F43" s="123" t="str">
        <f ca="1">_xlfn.FORMULATEXT(E43)</f>
        <v>=SUMPRODUCT($D$4:$D$10,$E$4:$E$10,--($F$4:$F$10=E39),--($D$4:$D$10&gt;=F40))/SUMIFS($E$4:$E$10,$D$4:$D$10,"&gt;="&amp;F40,$F$4:$F$10,E39)</v>
      </c>
    </row>
    <row r="45" spans="2:14" ht="14" thickBot="1">
      <c r="B45" s="14" t="s">
        <v>1180</v>
      </c>
      <c r="C45" s="14"/>
      <c r="D45" s="14"/>
      <c r="E45" s="14"/>
      <c r="F45" s="14"/>
      <c r="G45" s="14"/>
      <c r="H45" s="14"/>
      <c r="I45" s="14"/>
      <c r="J45" s="14"/>
      <c r="K45" s="14"/>
      <c r="L45" s="14"/>
      <c r="M45" s="14"/>
      <c r="N45" s="14"/>
    </row>
    <row r="46" spans="2:14">
      <c r="C46" t="s">
        <v>1182</v>
      </c>
    </row>
    <row r="47" spans="2:14">
      <c r="C47" t="s">
        <v>1181</v>
      </c>
      <c r="D47" s="18" t="s">
        <v>1183</v>
      </c>
    </row>
    <row r="48" spans="2:14">
      <c r="C48" t="s">
        <v>1184</v>
      </c>
    </row>
    <row r="49" spans="3:13">
      <c r="C49" t="s">
        <v>1185</v>
      </c>
      <c r="D49" s="72"/>
      <c r="E49" s="72"/>
      <c r="F49" s="72"/>
      <c r="G49" s="72"/>
      <c r="H49" s="72"/>
      <c r="I49" s="72"/>
      <c r="J49" s="72"/>
      <c r="K49" s="72"/>
    </row>
    <row r="51" spans="3:13">
      <c r="C51" t="s">
        <v>1186</v>
      </c>
    </row>
    <row r="53" spans="3:13">
      <c r="C53" s="87" t="s">
        <v>521</v>
      </c>
      <c r="D53" s="5">
        <v>1</v>
      </c>
      <c r="E53" s="5">
        <v>1</v>
      </c>
      <c r="F53" s="5">
        <v>1</v>
      </c>
      <c r="G53" s="5">
        <v>1</v>
      </c>
      <c r="H53" s="5">
        <v>2</v>
      </c>
      <c r="I53" s="5">
        <v>2</v>
      </c>
      <c r="J53" s="5">
        <v>2</v>
      </c>
      <c r="K53" s="5">
        <v>2</v>
      </c>
    </row>
    <row r="54" spans="3:13">
      <c r="C54" s="87" t="s">
        <v>1179</v>
      </c>
      <c r="D54" s="5">
        <v>1</v>
      </c>
      <c r="E54" s="5">
        <v>2</v>
      </c>
      <c r="F54" s="5">
        <v>3</v>
      </c>
      <c r="G54" s="5">
        <v>4</v>
      </c>
      <c r="H54" s="5">
        <v>1</v>
      </c>
      <c r="I54" s="5">
        <v>2</v>
      </c>
      <c r="J54" s="5">
        <v>3</v>
      </c>
      <c r="K54" s="5">
        <v>4</v>
      </c>
    </row>
    <row r="56" spans="3:13">
      <c r="C56" s="87" t="s">
        <v>1171</v>
      </c>
      <c r="M56" s="5" t="s">
        <v>1176</v>
      </c>
    </row>
    <row r="57" spans="3:13">
      <c r="C57" s="247" t="s">
        <v>1160</v>
      </c>
      <c r="D57" s="107">
        <v>37.5</v>
      </c>
      <c r="E57" s="107">
        <v>45</v>
      </c>
      <c r="F57" s="107">
        <v>30</v>
      </c>
      <c r="G57" s="107">
        <v>37.5</v>
      </c>
      <c r="H57" s="107">
        <v>40</v>
      </c>
      <c r="I57" s="107">
        <v>48</v>
      </c>
      <c r="J57" s="107">
        <v>32</v>
      </c>
      <c r="K57" s="107">
        <v>40</v>
      </c>
      <c r="M57" s="247" t="s">
        <v>1134</v>
      </c>
    </row>
    <row r="58" spans="3:13">
      <c r="C58" s="247" t="s">
        <v>1159</v>
      </c>
      <c r="D58" s="107">
        <v>135</v>
      </c>
      <c r="E58" s="107">
        <v>162</v>
      </c>
      <c r="F58" s="107">
        <v>108</v>
      </c>
      <c r="G58" s="107">
        <v>135</v>
      </c>
      <c r="H58" s="107">
        <v>30</v>
      </c>
      <c r="I58" s="107">
        <v>36</v>
      </c>
      <c r="J58" s="107">
        <v>24</v>
      </c>
      <c r="K58" s="107">
        <v>30</v>
      </c>
      <c r="M58" s="247" t="s">
        <v>1134</v>
      </c>
    </row>
    <row r="59" spans="3:13">
      <c r="C59" s="247" t="s">
        <v>1133</v>
      </c>
      <c r="D59" s="107">
        <v>75</v>
      </c>
      <c r="E59" s="107">
        <v>90</v>
      </c>
      <c r="F59" s="107">
        <v>60</v>
      </c>
      <c r="G59" s="107">
        <v>75</v>
      </c>
      <c r="H59" s="107">
        <v>77.5</v>
      </c>
      <c r="I59" s="107">
        <v>93</v>
      </c>
      <c r="J59" s="107">
        <v>62</v>
      </c>
      <c r="K59" s="107">
        <v>77.5</v>
      </c>
      <c r="M59" s="247" t="s">
        <v>1133</v>
      </c>
    </row>
    <row r="60" spans="3:13">
      <c r="C60" s="247" t="s">
        <v>1162</v>
      </c>
      <c r="D60" s="107">
        <v>52.5</v>
      </c>
      <c r="E60" s="107">
        <v>63</v>
      </c>
      <c r="F60" s="107">
        <v>42</v>
      </c>
      <c r="G60" s="107">
        <v>52.5</v>
      </c>
      <c r="H60" s="107">
        <v>60</v>
      </c>
      <c r="I60" s="107">
        <v>72</v>
      </c>
      <c r="J60" s="107">
        <v>48</v>
      </c>
      <c r="K60" s="107">
        <v>60</v>
      </c>
      <c r="M60" s="247" t="s">
        <v>1132</v>
      </c>
    </row>
    <row r="61" spans="3:13">
      <c r="C61" s="247" t="s">
        <v>1163</v>
      </c>
      <c r="D61" s="107">
        <v>45</v>
      </c>
      <c r="E61" s="107">
        <v>54</v>
      </c>
      <c r="F61" s="107">
        <v>36</v>
      </c>
      <c r="G61" s="107">
        <v>45</v>
      </c>
      <c r="H61" s="107">
        <v>46.25</v>
      </c>
      <c r="I61" s="107">
        <v>55.5</v>
      </c>
      <c r="J61" s="107">
        <v>37</v>
      </c>
      <c r="K61" s="107">
        <v>46.25</v>
      </c>
      <c r="M61" s="247" t="s">
        <v>1132</v>
      </c>
    </row>
    <row r="62" spans="3:13">
      <c r="C62" s="247" t="s">
        <v>1164</v>
      </c>
      <c r="D62" s="107">
        <v>37.5</v>
      </c>
      <c r="E62" s="107">
        <v>45</v>
      </c>
      <c r="F62" s="107">
        <v>30</v>
      </c>
      <c r="G62" s="107">
        <v>37.5</v>
      </c>
      <c r="H62" s="107">
        <v>32.5</v>
      </c>
      <c r="I62" s="107">
        <v>39</v>
      </c>
      <c r="J62" s="107">
        <v>26</v>
      </c>
      <c r="K62" s="107">
        <v>32.5</v>
      </c>
      <c r="M62" s="247" t="s">
        <v>1132</v>
      </c>
    </row>
    <row r="63" spans="3:13">
      <c r="C63" s="247" t="s">
        <v>1165</v>
      </c>
      <c r="D63" s="107">
        <v>25</v>
      </c>
      <c r="E63" s="107">
        <v>30</v>
      </c>
      <c r="F63" s="107">
        <v>20</v>
      </c>
      <c r="G63" s="107">
        <v>25</v>
      </c>
      <c r="H63" s="107">
        <v>27.5</v>
      </c>
      <c r="I63" s="107">
        <v>33</v>
      </c>
      <c r="J63" s="107">
        <v>22</v>
      </c>
      <c r="K63" s="107">
        <v>27.5</v>
      </c>
      <c r="M63" s="247" t="s">
        <v>1132</v>
      </c>
    </row>
    <row r="64" spans="3:13">
      <c r="C64" s="247" t="s">
        <v>1166</v>
      </c>
      <c r="D64" s="107">
        <v>30</v>
      </c>
      <c r="E64" s="107">
        <v>36</v>
      </c>
      <c r="F64" s="107">
        <v>24</v>
      </c>
      <c r="G64" s="107">
        <v>30</v>
      </c>
      <c r="H64" s="107">
        <v>37.5</v>
      </c>
      <c r="I64" s="107">
        <v>45</v>
      </c>
      <c r="J64" s="107">
        <v>30</v>
      </c>
      <c r="K64" s="107">
        <v>37.5</v>
      </c>
      <c r="M64" s="247" t="s">
        <v>1137</v>
      </c>
    </row>
    <row r="65" spans="3:13">
      <c r="C65" s="247" t="s">
        <v>1167</v>
      </c>
      <c r="D65" s="107">
        <v>22.5</v>
      </c>
      <c r="E65" s="107">
        <v>27</v>
      </c>
      <c r="F65" s="107">
        <v>18</v>
      </c>
      <c r="G65" s="107">
        <v>22.5</v>
      </c>
      <c r="H65" s="107">
        <v>22.5</v>
      </c>
      <c r="I65" s="107">
        <v>27</v>
      </c>
      <c r="J65" s="107">
        <v>18</v>
      </c>
      <c r="K65" s="107">
        <v>22.5</v>
      </c>
      <c r="M65" s="247" t="s">
        <v>1137</v>
      </c>
    </row>
    <row r="66" spans="3:13">
      <c r="C66" s="247" t="s">
        <v>1168</v>
      </c>
      <c r="D66" s="107">
        <v>12.5</v>
      </c>
      <c r="E66" s="107">
        <v>15</v>
      </c>
      <c r="F66" s="107">
        <v>10</v>
      </c>
      <c r="G66" s="107">
        <v>12.5</v>
      </c>
      <c r="H66" s="107">
        <v>22.5</v>
      </c>
      <c r="I66" s="107">
        <v>27</v>
      </c>
      <c r="J66" s="107">
        <v>18</v>
      </c>
      <c r="K66" s="107">
        <v>22.5</v>
      </c>
      <c r="M66" s="247" t="s">
        <v>1137</v>
      </c>
    </row>
    <row r="67" spans="3:13" ht="14" thickBot="1">
      <c r="C67" s="248" t="s">
        <v>1175</v>
      </c>
      <c r="D67" s="107">
        <v>31.25</v>
      </c>
      <c r="E67" s="107">
        <v>37.5</v>
      </c>
      <c r="F67" s="107">
        <v>25</v>
      </c>
      <c r="G67" s="107">
        <v>31.25</v>
      </c>
      <c r="H67" s="107">
        <v>33.75</v>
      </c>
      <c r="I67" s="107">
        <v>40.5</v>
      </c>
      <c r="J67" s="107">
        <v>27</v>
      </c>
      <c r="K67" s="107">
        <v>33.75</v>
      </c>
      <c r="M67" s="247" t="s">
        <v>1137</v>
      </c>
    </row>
    <row r="68" spans="3:13" ht="14" thickTop="1">
      <c r="C68" s="249" t="s">
        <v>23</v>
      </c>
      <c r="D68" s="251">
        <f>SUM(D57:D67)</f>
        <v>503.75</v>
      </c>
      <c r="E68" s="251">
        <f t="shared" ref="E68:K68" si="3">SUM(E57:E67)</f>
        <v>604.5</v>
      </c>
      <c r="F68" s="251">
        <f t="shared" si="3"/>
        <v>403</v>
      </c>
      <c r="G68" s="251">
        <f t="shared" si="3"/>
        <v>503.75</v>
      </c>
      <c r="H68" s="251">
        <f t="shared" si="3"/>
        <v>430</v>
      </c>
      <c r="I68" s="251">
        <f t="shared" si="3"/>
        <v>516</v>
      </c>
      <c r="J68" s="251">
        <f t="shared" si="3"/>
        <v>344</v>
      </c>
      <c r="K68" s="251">
        <f t="shared" si="3"/>
        <v>430</v>
      </c>
    </row>
    <row r="71" spans="3:13">
      <c r="D71" s="5" t="s">
        <v>521</v>
      </c>
      <c r="E71" s="5" t="s">
        <v>521</v>
      </c>
    </row>
    <row r="72" spans="3:13">
      <c r="C72" s="87" t="s">
        <v>1177</v>
      </c>
      <c r="D72" s="5">
        <v>1</v>
      </c>
      <c r="E72" s="5">
        <v>2</v>
      </c>
    </row>
    <row r="73" spans="3:13">
      <c r="C73" s="247" t="s">
        <v>1132</v>
      </c>
      <c r="D73" s="108">
        <f>SUMPRODUCT($D$57:$K$67*($D$53:$K$53=D$72)*($M$57:$M$67=$C73))</f>
        <v>640</v>
      </c>
      <c r="E73" s="108">
        <f>SUMPRODUCT($D$57:$K$67*($D$53:$K$53=E$72)*($M$57:$M$67=$C73))</f>
        <v>665</v>
      </c>
      <c r="F73" s="123" t="str">
        <f t="shared" ref="F73:F76" ca="1" si="4">_xlfn.FORMULATEXT(E73)</f>
        <v>=SUMPRODUCT($D$57:$K$67*($D$53:$K$53=E$72)*($M$57:$M$67=$C73))</v>
      </c>
    </row>
    <row r="74" spans="3:13">
      <c r="C74" s="247" t="s">
        <v>1134</v>
      </c>
      <c r="D74" s="108">
        <f t="shared" ref="D74:E76" si="5">SUMPRODUCT($D$57:$K$67*($D$53:$K$53=D$72)*($M$57:$M$67=$C74))</f>
        <v>690</v>
      </c>
      <c r="E74" s="108">
        <f t="shared" si="5"/>
        <v>280</v>
      </c>
      <c r="F74" s="123" t="str">
        <f t="shared" ca="1" si="4"/>
        <v>=SUMPRODUCT($D$57:$K$67*($D$53:$K$53=E$72)*($M$57:$M$67=$C74))</v>
      </c>
    </row>
    <row r="75" spans="3:13">
      <c r="C75" s="247" t="s">
        <v>1133</v>
      </c>
      <c r="D75" s="108">
        <f t="shared" si="5"/>
        <v>300</v>
      </c>
      <c r="E75" s="108">
        <f t="shared" si="5"/>
        <v>310</v>
      </c>
      <c r="F75" s="123" t="str">
        <f t="shared" ca="1" si="4"/>
        <v>=SUMPRODUCT($D$57:$K$67*($D$53:$K$53=E$72)*($M$57:$M$67=$C75))</v>
      </c>
    </row>
    <row r="76" spans="3:13" ht="14" thickBot="1">
      <c r="C76" s="247" t="s">
        <v>1137</v>
      </c>
      <c r="D76" s="108">
        <f t="shared" si="5"/>
        <v>385</v>
      </c>
      <c r="E76" s="108">
        <f t="shared" si="5"/>
        <v>465</v>
      </c>
      <c r="F76" s="123" t="str">
        <f t="shared" ca="1" si="4"/>
        <v>=SUMPRODUCT($D$57:$K$67*($D$53:$K$53=E$72)*($M$57:$M$67=$C76))</v>
      </c>
    </row>
    <row r="77" spans="3:13" ht="14" thickTop="1">
      <c r="C77" s="249" t="s">
        <v>23</v>
      </c>
      <c r="D77" s="253">
        <f>SUM(D73:D76)</f>
        <v>2015</v>
      </c>
      <c r="E77" s="253">
        <f t="shared" ref="E77" si="6">SUM(E73:E76)</f>
        <v>1720</v>
      </c>
    </row>
    <row r="79" spans="3:13">
      <c r="C79" t="s">
        <v>1178</v>
      </c>
      <c r="D79" s="133">
        <f>--(ROUND(SUMIFS($D$68:$K$68,$D$53:$K$53,D$72)-D77,3)&lt;&gt;0)</f>
        <v>0</v>
      </c>
      <c r="E79" s="133">
        <f>--(ROUND(SUMIFS($D$68:$K$68,$D$53:$K$53,E$72)-E77,3)&lt;&gt;0)</f>
        <v>0</v>
      </c>
      <c r="F79" s="133">
        <f>--(ROUND(SUM(D68:K68)-SUM(D77:E77),3)&lt;&gt;0)</f>
        <v>0</v>
      </c>
    </row>
  </sheetData>
  <dataValidations disablePrompts="1" count="3">
    <dataValidation type="list" allowBlank="1" showInputMessage="1" showErrorMessage="1" sqref="F26:G26" xr:uid="{00000000-0002-0000-1700-000000000000}">
      <formula1>$C$4:$C$10</formula1>
    </dataValidation>
    <dataValidation type="list" allowBlank="1" showInputMessage="1" showErrorMessage="1" sqref="E39" xr:uid="{00000000-0002-0000-1700-000001000000}">
      <formula1>$F$4:$F$5</formula1>
    </dataValidation>
    <dataValidation type="list" allowBlank="1" showInputMessage="1" showErrorMessage="1" sqref="M57:M67" xr:uid="{00000000-0002-0000-1700-000002000000}">
      <formula1>$C$73:$C$76</formula1>
    </dataValidation>
  </dataValidations>
  <printOptions headings="1" gridLines="1"/>
  <pageMargins left="0.74803149606299213" right="0.74803149606299213" top="0.98425196850393704" bottom="0.98425196850393704" header="0.51181102362204722" footer="0.51181102362204722"/>
  <pageSetup paperSize="9" scale="56" fitToHeight="5" orientation="portrait" r:id="rId1"/>
  <headerFooter alignWithMargins="0">
    <oddHeader>&amp;LExcel Function Dictionary
© 1998 - 2000 Peter Noneley&amp;R&amp;A
Page &amp;P of &amp;N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1">
    <tabColor rgb="FF00B050"/>
    <pageSetUpPr fitToPage="1"/>
  </sheetPr>
  <dimension ref="A1:I85"/>
  <sheetViews>
    <sheetView showGridLines="0" zoomScale="85" zoomScaleNormal="85" workbookViewId="0">
      <pane ySplit="1" topLeftCell="A2" activePane="bottomLeft" state="frozen"/>
      <selection activeCell="K21" sqref="K21"/>
      <selection pane="bottomLeft" activeCell="I90" sqref="I90"/>
    </sheetView>
  </sheetViews>
  <sheetFormatPr baseColWidth="10" defaultColWidth="8.83203125" defaultRowHeight="13"/>
  <cols>
    <col min="1" max="1" width="2.83203125" customWidth="1"/>
    <col min="2" max="2" width="10.83203125" customWidth="1"/>
    <col min="3" max="3" width="13.1640625" customWidth="1"/>
    <col min="4" max="4" width="15.83203125" customWidth="1"/>
    <col min="7" max="7" width="12" customWidth="1"/>
    <col min="8" max="8" width="11.6640625" customWidth="1"/>
    <col min="9" max="9" width="82.83203125" bestFit="1" customWidth="1"/>
  </cols>
  <sheetData>
    <row r="1" spans="1:9" ht="19" thickBot="1">
      <c r="A1" s="1" t="s">
        <v>400</v>
      </c>
      <c r="B1" s="1"/>
      <c r="C1" s="1"/>
      <c r="D1" s="1"/>
      <c r="E1" s="1"/>
      <c r="F1" s="1"/>
      <c r="G1" s="1"/>
      <c r="H1" s="1"/>
      <c r="I1" s="1"/>
    </row>
    <row r="2" spans="1:9" ht="14" thickTop="1"/>
    <row r="3" spans="1:9">
      <c r="D3" s="5" t="s">
        <v>518</v>
      </c>
      <c r="E3" s="5" t="s">
        <v>30</v>
      </c>
    </row>
    <row r="4" spans="1:9">
      <c r="D4" s="3">
        <f>1+2</f>
        <v>3</v>
      </c>
      <c r="E4" s="10">
        <f>IFERROR(D4,"n/a")</f>
        <v>3</v>
      </c>
      <c r="F4" s="123" t="str">
        <f t="shared" ref="F4:F10" ca="1" si="0">_xlfn.FORMULATEXT(E4)</f>
        <v>=IFERROR(D4,"n/a")</v>
      </c>
    </row>
    <row r="5" spans="1:9">
      <c r="D5" s="10" t="e">
        <f>10/0</f>
        <v>#DIV/0!</v>
      </c>
      <c r="E5" s="10" t="str">
        <f t="shared" ref="E5:E10" si="1">IFERROR(D5,"n/a")</f>
        <v>n/a</v>
      </c>
      <c r="F5" s="123" t="str">
        <f t="shared" ca="1" si="0"/>
        <v>=IFERROR(D5,"n/a")</v>
      </c>
    </row>
    <row r="6" spans="1:9">
      <c r="D6" s="10" t="e">
        <f>SUM(ALAN)</f>
        <v>#NAME?</v>
      </c>
      <c r="E6" s="10" t="str">
        <f t="shared" si="1"/>
        <v>n/a</v>
      </c>
      <c r="F6" s="123" t="str">
        <f t="shared" ca="1" si="0"/>
        <v>=IFERROR(D6,"n/a")</v>
      </c>
    </row>
    <row r="7" spans="1:9">
      <c r="D7" s="10" t="e">
        <f>#REF!+10</f>
        <v>#REF!</v>
      </c>
      <c r="E7" s="10" t="str">
        <f t="shared" si="1"/>
        <v>n/a</v>
      </c>
      <c r="F7" s="123" t="str">
        <f t="shared" ca="1" si="0"/>
        <v>=IFERROR(D7,"n/a")</v>
      </c>
    </row>
    <row r="8" spans="1:9">
      <c r="D8" s="10" t="e">
        <f>SUM("ALAN")</f>
        <v>#VALUE!</v>
      </c>
      <c r="E8" s="10" t="str">
        <f t="shared" si="1"/>
        <v>n/a</v>
      </c>
      <c r="F8" s="123" t="str">
        <f t="shared" ca="1" si="0"/>
        <v>=IFERROR(D8,"n/a")</v>
      </c>
    </row>
    <row r="9" spans="1:9">
      <c r="D9" s="10" t="e">
        <f>MATCH(D4,C4:C6,0)</f>
        <v>#N/A</v>
      </c>
      <c r="E9" s="10" t="str">
        <f t="shared" si="1"/>
        <v>n/a</v>
      </c>
      <c r="F9" s="123" t="str">
        <f t="shared" ca="1" si="0"/>
        <v>=IFERROR(D9,"n/a")</v>
      </c>
    </row>
    <row r="10" spans="1:9">
      <c r="D10" s="10" t="e">
        <f>NA()</f>
        <v>#N/A</v>
      </c>
      <c r="E10" s="10" t="str">
        <f t="shared" si="1"/>
        <v>n/a</v>
      </c>
      <c r="F10" s="123" t="str">
        <f t="shared" ca="1" si="0"/>
        <v>=IFERROR(D10,"n/a")</v>
      </c>
    </row>
    <row r="12" spans="1:9" ht="14" thickBot="1">
      <c r="B12" s="14" t="s">
        <v>29</v>
      </c>
      <c r="C12" s="14"/>
      <c r="D12" s="14"/>
      <c r="E12" s="14"/>
      <c r="F12" s="14"/>
      <c r="G12" s="14"/>
      <c r="H12" s="14"/>
      <c r="I12" s="14"/>
    </row>
    <row r="13" spans="1:9">
      <c r="B13" t="s">
        <v>514</v>
      </c>
    </row>
    <row r="14" spans="1:9">
      <c r="B14" t="s">
        <v>515</v>
      </c>
    </row>
    <row r="16" spans="1:9" ht="14" thickBot="1">
      <c r="B16" s="14" t="s">
        <v>24</v>
      </c>
      <c r="C16" s="14"/>
      <c r="D16" s="14"/>
      <c r="E16" s="14"/>
      <c r="F16" s="14"/>
      <c r="G16" s="14"/>
      <c r="H16" s="14"/>
      <c r="I16" s="14"/>
    </row>
    <row r="17" spans="2:9">
      <c r="B17" s="18" t="s">
        <v>513</v>
      </c>
    </row>
    <row r="18" spans="2:9">
      <c r="B18" t="s">
        <v>516</v>
      </c>
    </row>
    <row r="19" spans="2:9">
      <c r="B19" t="s">
        <v>582</v>
      </c>
    </row>
    <row r="21" spans="2:9" ht="14" thickBot="1">
      <c r="B21" s="14" t="s">
        <v>32</v>
      </c>
      <c r="C21" s="14"/>
      <c r="D21" s="14"/>
      <c r="E21" s="14"/>
      <c r="F21" s="14"/>
      <c r="G21" s="14"/>
      <c r="H21" s="14"/>
      <c r="I21" s="14"/>
    </row>
    <row r="22" spans="2:9">
      <c r="B22" t="s">
        <v>517</v>
      </c>
    </row>
    <row r="24" spans="2:9">
      <c r="B24" t="s">
        <v>183</v>
      </c>
    </row>
    <row r="25" spans="2:9">
      <c r="B25" t="s">
        <v>184</v>
      </c>
    </row>
    <row r="27" spans="2:9">
      <c r="C27" t="s">
        <v>26</v>
      </c>
    </row>
    <row r="28" spans="2:9">
      <c r="C28" s="22" t="s">
        <v>185</v>
      </c>
      <c r="D28" s="9" t="s">
        <v>693</v>
      </c>
    </row>
    <row r="29" spans="2:9">
      <c r="C29" s="22" t="s">
        <v>186</v>
      </c>
      <c r="D29" s="12">
        <v>43402</v>
      </c>
    </row>
    <row r="30" spans="2:9">
      <c r="C30" s="22" t="s">
        <v>187</v>
      </c>
      <c r="D30" s="35" t="e">
        <f>D29-D28</f>
        <v>#VALUE!</v>
      </c>
      <c r="E30" s="123" t="str">
        <f ca="1">_xlfn.FORMULATEXT(D30)</f>
        <v>=D29-D28</v>
      </c>
    </row>
    <row r="33" spans="2:9">
      <c r="B33" t="s">
        <v>528</v>
      </c>
    </row>
    <row r="35" spans="2:9">
      <c r="C35" t="s">
        <v>27</v>
      </c>
    </row>
    <row r="36" spans="2:9">
      <c r="C36" s="22" t="s">
        <v>185</v>
      </c>
      <c r="D36" s="9" t="s">
        <v>693</v>
      </c>
    </row>
    <row r="37" spans="2:9">
      <c r="C37" s="22" t="s">
        <v>186</v>
      </c>
      <c r="D37" s="12">
        <v>43402</v>
      </c>
    </row>
    <row r="38" spans="2:9">
      <c r="C38" s="22" t="s">
        <v>187</v>
      </c>
      <c r="D38" s="254" t="str">
        <f>IFERROR(D37-D36,"Error in data entry")</f>
        <v>Error in data entry</v>
      </c>
    </row>
    <row r="39" spans="2:9">
      <c r="D39" s="123" t="str">
        <f ca="1">_xlfn.FORMULATEXT(D38)</f>
        <v>=IFERROR(D37-D36,"Error in data entry")</v>
      </c>
    </row>
    <row r="41" spans="2:9" ht="14" thickBot="1">
      <c r="B41" s="14" t="s">
        <v>56</v>
      </c>
      <c r="C41" s="14"/>
      <c r="D41" s="14"/>
      <c r="E41" s="14"/>
      <c r="F41" s="14"/>
      <c r="G41" s="14"/>
      <c r="H41" s="14"/>
      <c r="I41" s="14"/>
    </row>
    <row r="42" spans="2:9">
      <c r="B42" t="s">
        <v>527</v>
      </c>
    </row>
    <row r="44" spans="2:9" ht="28">
      <c r="D44" s="5" t="s">
        <v>521</v>
      </c>
      <c r="E44" s="5" t="s">
        <v>519</v>
      </c>
      <c r="F44" s="5" t="s">
        <v>520</v>
      </c>
      <c r="G44" s="15" t="s">
        <v>525</v>
      </c>
      <c r="H44" s="15" t="s">
        <v>526</v>
      </c>
    </row>
    <row r="45" spans="2:9">
      <c r="D45" s="5">
        <v>2016</v>
      </c>
      <c r="E45" s="2">
        <v>200</v>
      </c>
      <c r="F45" s="2">
        <v>80</v>
      </c>
      <c r="G45" s="67">
        <f>E45/F45</f>
        <v>2.5</v>
      </c>
      <c r="H45" s="67">
        <f>IFERROR(E45/F45,0)</f>
        <v>2.5</v>
      </c>
      <c r="I45" s="123" t="str">
        <f t="shared" ref="I45:I47" ca="1" si="2">_xlfn.FORMULATEXT(H45)</f>
        <v>=IFERROR(E45/F45,0)</v>
      </c>
    </row>
    <row r="46" spans="2:9">
      <c r="D46" s="5">
        <v>2017</v>
      </c>
      <c r="E46" s="2">
        <v>250</v>
      </c>
      <c r="F46" s="2">
        <v>110</v>
      </c>
      <c r="G46" s="67">
        <f>E46/F46</f>
        <v>2.2727272727272729</v>
      </c>
      <c r="H46" s="67">
        <f>IFERROR(E46/F46,0)</f>
        <v>2.2727272727272729</v>
      </c>
      <c r="I46" s="123" t="str">
        <f t="shared" ca="1" si="2"/>
        <v>=IFERROR(E46/F46,0)</v>
      </c>
    </row>
    <row r="47" spans="2:9">
      <c r="D47" s="5">
        <v>2018</v>
      </c>
      <c r="E47" s="2"/>
      <c r="F47" s="2"/>
      <c r="G47" s="67" t="e">
        <f>E47/F47</f>
        <v>#DIV/0!</v>
      </c>
      <c r="H47" s="67">
        <f>IFERROR(E47/F47,0)</f>
        <v>0</v>
      </c>
      <c r="I47" s="123" t="str">
        <f t="shared" ca="1" si="2"/>
        <v>=IFERROR(E47/F47,0)</v>
      </c>
    </row>
    <row r="48" spans="2:9">
      <c r="D48" s="4"/>
      <c r="I48" s="7"/>
    </row>
    <row r="49" spans="2:9">
      <c r="G49" s="5" t="s">
        <v>522</v>
      </c>
      <c r="I49" s="7"/>
    </row>
    <row r="50" spans="2:9">
      <c r="C50" s="69" t="s">
        <v>523</v>
      </c>
      <c r="D50" s="5">
        <v>2017</v>
      </c>
      <c r="G50" s="67">
        <f>INDEX(G$45:G$47,MATCH($D50,$D$45:$D$47,0))</f>
        <v>2.2727272727272729</v>
      </c>
      <c r="I50" s="123" t="str">
        <f ca="1">_xlfn.FORMULATEXT(G50)</f>
        <v>=INDEX(G$45:G$47,MATCH($D50,$D$45:$D$47,0))</v>
      </c>
    </row>
    <row r="51" spans="2:9">
      <c r="C51" s="68"/>
      <c r="D51" s="5">
        <v>2019</v>
      </c>
      <c r="G51" s="67" t="e">
        <f>INDEX(G$45:G$47,MATCH($D51,$D$45:$D$47,0))</f>
        <v>#N/A</v>
      </c>
      <c r="I51" s="123" t="str">
        <f t="shared" ref="I51:I52" ca="1" si="3">_xlfn.FORMULATEXT(G51)</f>
        <v>=INDEX(G$45:G$47,MATCH($D51,$D$45:$D$47,0))</v>
      </c>
    </row>
    <row r="52" spans="2:9">
      <c r="C52" s="22" t="s">
        <v>524</v>
      </c>
      <c r="D52" s="5">
        <v>2019</v>
      </c>
      <c r="G52" s="95" t="str">
        <f>IFERROR(INDEX(G$45:G$47,MATCH($D52,$D$45:$D$47,0)),"unknown")</f>
        <v>unknown</v>
      </c>
      <c r="I52" s="123" t="str">
        <f t="shared" ca="1" si="3"/>
        <v>=IFERROR(INDEX(G$45:G$47,MATCH($D52,$D$45:$D$47,0)),"unknown")</v>
      </c>
    </row>
    <row r="54" spans="2:9">
      <c r="B54" t="s">
        <v>530</v>
      </c>
    </row>
    <row r="56" spans="2:9" ht="14" thickBot="1">
      <c r="B56" s="14" t="s">
        <v>945</v>
      </c>
      <c r="C56" s="14"/>
      <c r="D56" s="14"/>
      <c r="E56" s="14"/>
      <c r="F56" s="14"/>
      <c r="G56" s="14"/>
      <c r="H56" s="14"/>
      <c r="I56" s="14"/>
    </row>
    <row r="58" spans="2:9">
      <c r="B58" s="70" t="s">
        <v>529</v>
      </c>
    </row>
    <row r="60" spans="2:9">
      <c r="B60" t="s">
        <v>531</v>
      </c>
    </row>
    <row r="61" spans="2:9">
      <c r="G61" s="5" t="s">
        <v>522</v>
      </c>
    </row>
    <row r="62" spans="2:9">
      <c r="C62" s="69" t="s">
        <v>523</v>
      </c>
      <c r="D62" s="5">
        <v>2017</v>
      </c>
      <c r="G62" s="67" t="e">
        <f>INDEX(G$45,MATCH($D62,$D$45:$D$47,0))</f>
        <v>#REF!</v>
      </c>
      <c r="I62" s="123" t="str">
        <f t="shared" ref="I62:I63" ca="1" si="4">_xlfn.FORMULATEXT(G62)</f>
        <v>=INDEX(G$45,MATCH($D62,$D$45:$D$47,0))</v>
      </c>
    </row>
    <row r="63" spans="2:9">
      <c r="C63" s="68"/>
      <c r="D63" s="5">
        <v>2019</v>
      </c>
      <c r="G63" s="67" t="e">
        <f>INDEX(G$45,MATCH($D63,$D$45:$D$47,0))</f>
        <v>#N/A</v>
      </c>
      <c r="I63" s="123" t="str">
        <f t="shared" ca="1" si="4"/>
        <v>=INDEX(G$45,MATCH($D63,$D$45:$D$47,0))</v>
      </c>
    </row>
    <row r="65" spans="2:9">
      <c r="B65" t="s">
        <v>532</v>
      </c>
    </row>
    <row r="66" spans="2:9">
      <c r="G66" s="5" t="s">
        <v>522</v>
      </c>
    </row>
    <row r="67" spans="2:9">
      <c r="C67" s="69" t="s">
        <v>523</v>
      </c>
      <c r="D67" s="5">
        <v>2017</v>
      </c>
      <c r="G67" s="67" t="str">
        <f>IFERROR(INDEX(G$45,MATCH($D67,$D$45:$D$47,0)),"unknown")</f>
        <v>unknown</v>
      </c>
      <c r="I67" s="123" t="str">
        <f t="shared" ref="I67:I68" ca="1" si="5">_xlfn.FORMULATEXT(G67)</f>
        <v>=IFERROR(INDEX(G$45,MATCH($D67,$D$45:$D$47,0)),"unknown")</v>
      </c>
    </row>
    <row r="68" spans="2:9">
      <c r="C68" s="68"/>
      <c r="D68" s="5">
        <v>2019</v>
      </c>
      <c r="G68" s="67" t="str">
        <f>IFERROR(INDEX(G$45,MATCH($D68,$D$45:$D$47,0)),"unknown")</f>
        <v>unknown</v>
      </c>
      <c r="I68" s="123" t="str">
        <f t="shared" ca="1" si="5"/>
        <v>=IFERROR(INDEX(G$45,MATCH($D68,$D$45:$D$47,0)),"unknown")</v>
      </c>
    </row>
    <row r="70" spans="2:9">
      <c r="B70" s="70" t="s">
        <v>533</v>
      </c>
      <c r="C70" s="70"/>
      <c r="D70" s="70"/>
      <c r="E70" s="70"/>
      <c r="F70" s="70"/>
      <c r="G70" s="70"/>
    </row>
    <row r="71" spans="2:9">
      <c r="B71" s="70">
        <v>1</v>
      </c>
      <c r="C71" s="70" t="s">
        <v>1190</v>
      </c>
      <c r="D71" s="70"/>
      <c r="E71" s="70"/>
      <c r="F71" s="70"/>
      <c r="G71" s="70"/>
    </row>
    <row r="72" spans="2:9">
      <c r="B72" s="70">
        <v>2</v>
      </c>
      <c r="C72" s="70" t="s">
        <v>534</v>
      </c>
      <c r="D72" s="70"/>
      <c r="E72" s="70"/>
      <c r="F72" s="70"/>
      <c r="G72" s="70"/>
    </row>
    <row r="73" spans="2:9">
      <c r="B73" s="70"/>
      <c r="C73" s="70"/>
      <c r="D73" s="70"/>
      <c r="E73" s="70"/>
      <c r="F73" s="70"/>
      <c r="G73" s="70"/>
    </row>
    <row r="74" spans="2:9">
      <c r="B74" s="71" t="s">
        <v>535</v>
      </c>
      <c r="C74" s="71"/>
      <c r="D74" s="70"/>
      <c r="E74" s="70"/>
      <c r="F74" s="70"/>
      <c r="G74" s="70"/>
    </row>
    <row r="75" spans="2:9">
      <c r="B75" s="71"/>
      <c r="C75" s="71" t="s">
        <v>536</v>
      </c>
      <c r="D75" s="70"/>
      <c r="E75" s="70"/>
      <c r="F75" s="70"/>
      <c r="G75" s="255">
        <f>IF(F47=0,0,E47/F47)</f>
        <v>0</v>
      </c>
      <c r="H75" s="123" t="str">
        <f t="shared" ref="H75" ca="1" si="6">_xlfn.FORMULATEXT(G75)</f>
        <v>=IF(F47=0,0,E47/F47)</v>
      </c>
    </row>
    <row r="77" spans="2:9">
      <c r="B77" t="s">
        <v>537</v>
      </c>
    </row>
    <row r="78" spans="2:9">
      <c r="G78" s="5" t="s">
        <v>522</v>
      </c>
    </row>
    <row r="79" spans="2:9">
      <c r="C79" s="69" t="s">
        <v>523</v>
      </c>
      <c r="D79" s="5">
        <v>2017</v>
      </c>
      <c r="G79" s="67" t="e">
        <f>_xlfn.IFNA(INDEX(G$45,MATCH($D79,$D$45:$D$47,0)),"unknown")</f>
        <v>#REF!</v>
      </c>
      <c r="I79" s="123" t="str">
        <f t="shared" ref="I79:I80" ca="1" si="7">_xlfn.FORMULATEXT(G79)</f>
        <v>=IFNA(INDEX(G$45,MATCH($D79,$D$45:$D$47,0)),"unknown")</v>
      </c>
    </row>
    <row r="80" spans="2:9">
      <c r="C80" s="68"/>
      <c r="D80" s="5">
        <v>2019</v>
      </c>
      <c r="G80" s="67" t="str">
        <f>_xlfn.IFNA(INDEX(G$45,MATCH($D80,$D$45:$D$47,0)),"unknown")</f>
        <v>unknown</v>
      </c>
      <c r="I80" s="123" t="str">
        <f t="shared" ca="1" si="7"/>
        <v>=IFNA(INDEX(G$45,MATCH($D80,$D$45:$D$47,0)),"unknown")</v>
      </c>
    </row>
    <row r="82" spans="2:9">
      <c r="B82" t="s">
        <v>538</v>
      </c>
    </row>
    <row r="83" spans="2:9">
      <c r="G83" s="5" t="s">
        <v>522</v>
      </c>
    </row>
    <row r="84" spans="2:9">
      <c r="C84" s="69" t="s">
        <v>523</v>
      </c>
      <c r="D84" s="5">
        <v>2017</v>
      </c>
      <c r="G84" s="67">
        <f>_xlfn.IFNA(INDEX(G$45:G$47,MATCH($D84,$D$45:$D$47,0)),"unknown")</f>
        <v>2.2727272727272729</v>
      </c>
      <c r="I84" s="123" t="str">
        <f t="shared" ref="I84:I85" ca="1" si="8">_xlfn.FORMULATEXT(G84)</f>
        <v>=IFNA(INDEX(G$45:G$47,MATCH($D84,$D$45:$D$47,0)),"unknown")</v>
      </c>
    </row>
    <row r="85" spans="2:9">
      <c r="C85" s="68"/>
      <c r="D85" s="5">
        <v>2019</v>
      </c>
      <c r="G85" s="67" t="str">
        <f>_xlfn.IFNA(INDEX(G$45:G$47,MATCH($D85,$D$45:$D$47,0)),"unknown")</f>
        <v>unknown</v>
      </c>
      <c r="I85" s="123" t="str">
        <f t="shared" ca="1" si="8"/>
        <v>=IFNA(INDEX(G$45:G$47,MATCH($D85,$D$45:$D$47,0)),"unknown")</v>
      </c>
    </row>
  </sheetData>
  <printOptions headings="1" gridLines="1"/>
  <pageMargins left="0.74803149606299213" right="0.74803149606299213" top="0.98425196850393704" bottom="0.98425196850393704" header="0.51181102362204722" footer="0.51181102362204722"/>
  <pageSetup paperSize="9" scale="49" fitToHeight="5" orientation="portrait" r:id="rId1"/>
  <headerFooter alignWithMargins="0">
    <oddHeader>&amp;LExcel Function Dictionary
© 1998 - 2000 Peter Noneley&amp;R&amp;A
Page &amp;P of &amp;N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I35"/>
  <sheetViews>
    <sheetView showGridLines="0" zoomScale="90" zoomScaleNormal="90" workbookViewId="0">
      <pane ySplit="1" topLeftCell="A2" activePane="bottomLeft" state="frozen"/>
      <selection activeCell="K21" sqref="K21"/>
      <selection pane="bottomLeft" activeCell="I34" sqref="I34"/>
    </sheetView>
  </sheetViews>
  <sheetFormatPr baseColWidth="10" defaultColWidth="8.83203125" defaultRowHeight="13"/>
  <cols>
    <col min="1" max="1" width="2.83203125" customWidth="1"/>
    <col min="2" max="2" width="10.83203125" customWidth="1"/>
    <col min="3" max="3" width="13.1640625" customWidth="1"/>
    <col min="4" max="4" width="15.83203125" customWidth="1"/>
    <col min="5" max="5" width="11.1640625" customWidth="1"/>
    <col min="7" max="7" width="12" customWidth="1"/>
    <col min="8" max="8" width="11.6640625" customWidth="1"/>
    <col min="9" max="9" width="82.83203125" bestFit="1" customWidth="1"/>
  </cols>
  <sheetData>
    <row r="1" spans="1:9" ht="19" thickBot="1">
      <c r="A1" s="1" t="s">
        <v>1226</v>
      </c>
      <c r="B1" s="1"/>
      <c r="C1" s="1"/>
      <c r="D1" s="1"/>
      <c r="E1" s="1"/>
      <c r="F1" s="1"/>
      <c r="G1" s="1"/>
      <c r="H1" s="1"/>
      <c r="I1" s="1"/>
    </row>
    <row r="2" spans="1:9" ht="14" thickTop="1"/>
    <row r="3" spans="1:9">
      <c r="D3" s="5" t="s">
        <v>518</v>
      </c>
      <c r="E3" s="5" t="s">
        <v>30</v>
      </c>
    </row>
    <row r="4" spans="1:9">
      <c r="D4" s="3">
        <f>1+2</f>
        <v>3</v>
      </c>
      <c r="E4" s="10">
        <f t="shared" ref="E4:E10" si="0">_xlfn.IFNA(D4,"n/a")</f>
        <v>3</v>
      </c>
    </row>
    <row r="5" spans="1:9">
      <c r="D5" s="10" t="e">
        <f>10/0</f>
        <v>#DIV/0!</v>
      </c>
      <c r="E5" s="10" t="e">
        <f t="shared" si="0"/>
        <v>#DIV/0!</v>
      </c>
    </row>
    <row r="6" spans="1:9">
      <c r="D6" s="10" t="e">
        <f>SUM(ALAN)</f>
        <v>#NAME?</v>
      </c>
      <c r="E6" s="10" t="e">
        <f t="shared" si="0"/>
        <v>#NAME?</v>
      </c>
    </row>
    <row r="7" spans="1:9">
      <c r="D7" s="10" t="e">
        <f>#REF!+10</f>
        <v>#REF!</v>
      </c>
      <c r="E7" s="10" t="e">
        <f t="shared" si="0"/>
        <v>#REF!</v>
      </c>
    </row>
    <row r="8" spans="1:9">
      <c r="D8" s="10" t="e">
        <f>SUM("ALAN")</f>
        <v>#VALUE!</v>
      </c>
      <c r="E8" s="10" t="e">
        <f t="shared" si="0"/>
        <v>#VALUE!</v>
      </c>
    </row>
    <row r="9" spans="1:9">
      <c r="D9" s="10" t="e">
        <f>MATCH(D4,C4:C6,0)</f>
        <v>#N/A</v>
      </c>
      <c r="E9" s="10" t="str">
        <f t="shared" si="0"/>
        <v>n/a</v>
      </c>
    </row>
    <row r="10" spans="1:9">
      <c r="D10" s="10" t="e">
        <f>NA()</f>
        <v>#N/A</v>
      </c>
      <c r="E10" s="10" t="str">
        <f t="shared" si="0"/>
        <v>n/a</v>
      </c>
    </row>
    <row r="11" spans="1:9">
      <c r="E11" s="123" t="str">
        <f ca="1">_xlfn.FORMULATEXT(E10)</f>
        <v>=IFNA(D10,"n/a")</v>
      </c>
    </row>
    <row r="13" spans="1:9" ht="14" thickBot="1">
      <c r="B13" s="14" t="s">
        <v>29</v>
      </c>
      <c r="C13" s="14"/>
      <c r="D13" s="14"/>
      <c r="E13" s="14"/>
      <c r="F13" s="14"/>
      <c r="G13" s="14"/>
      <c r="H13" s="14"/>
      <c r="I13" s="14"/>
    </row>
    <row r="14" spans="1:9">
      <c r="B14" t="s">
        <v>1196</v>
      </c>
    </row>
    <row r="16" spans="1:9">
      <c r="B16" t="s">
        <v>1195</v>
      </c>
    </row>
    <row r="17" spans="2:9">
      <c r="B17" t="s">
        <v>586</v>
      </c>
    </row>
    <row r="19" spans="2:9" ht="14" thickBot="1">
      <c r="B19" s="14" t="s">
        <v>24</v>
      </c>
      <c r="C19" s="14"/>
      <c r="D19" s="14"/>
      <c r="E19" s="14"/>
      <c r="F19" s="14"/>
      <c r="G19" s="14"/>
      <c r="H19" s="14"/>
      <c r="I19" s="14"/>
    </row>
    <row r="20" spans="2:9">
      <c r="B20" s="18" t="s">
        <v>1191</v>
      </c>
      <c r="H20" t="s">
        <v>1192</v>
      </c>
    </row>
    <row r="21" spans="2:9">
      <c r="B21" s="18" t="s">
        <v>1193</v>
      </c>
      <c r="H21" t="s">
        <v>1194</v>
      </c>
    </row>
    <row r="23" spans="2:9" ht="14" thickBot="1">
      <c r="B23" s="14" t="s">
        <v>25</v>
      </c>
      <c r="C23" s="14"/>
      <c r="D23" s="14"/>
      <c r="E23" s="14"/>
      <c r="F23" s="14"/>
      <c r="G23" s="14"/>
      <c r="H23" s="14"/>
      <c r="I23" s="14"/>
    </row>
    <row r="25" spans="2:9">
      <c r="D25" s="5" t="s">
        <v>33</v>
      </c>
      <c r="E25" s="5" t="s">
        <v>587</v>
      </c>
    </row>
    <row r="26" spans="2:9">
      <c r="D26" s="2" t="s">
        <v>588</v>
      </c>
      <c r="E26" s="2">
        <v>15</v>
      </c>
    </row>
    <row r="27" spans="2:9">
      <c r="D27" s="2" t="s">
        <v>589</v>
      </c>
      <c r="E27" s="2">
        <v>14</v>
      </c>
    </row>
    <row r="28" spans="2:9">
      <c r="D28" s="2" t="s">
        <v>590</v>
      </c>
      <c r="E28" s="2">
        <v>18</v>
      </c>
    </row>
    <row r="29" spans="2:9">
      <c r="D29" s="2" t="s">
        <v>592</v>
      </c>
      <c r="E29" s="2">
        <v>13</v>
      </c>
    </row>
    <row r="30" spans="2:9">
      <c r="D30" s="2" t="s">
        <v>591</v>
      </c>
      <c r="E30" s="2">
        <v>14</v>
      </c>
    </row>
    <row r="33" spans="3:6">
      <c r="C33" s="87" t="s">
        <v>593</v>
      </c>
      <c r="D33" s="2" t="s">
        <v>589</v>
      </c>
      <c r="E33" s="2" t="s">
        <v>594</v>
      </c>
    </row>
    <row r="34" spans="3:6">
      <c r="C34" s="87" t="s">
        <v>587</v>
      </c>
      <c r="D34" s="3">
        <f>INDEX($E$26:$E$30,MATCH(D$33,$D$26:$D$30,0))</f>
        <v>14</v>
      </c>
      <c r="E34" s="3" t="e">
        <f>INDEX($E$26:$E$30,MATCH(E$33,$D$26:$D$30,0))</f>
        <v>#N/A</v>
      </c>
      <c r="F34" s="123" t="str">
        <f t="shared" ref="F34:F35" ca="1" si="1">_xlfn.FORMULATEXT(E34)</f>
        <v>=INDEX($E$26:$E$30,MATCH(E$33,$D$26:$D$30,0))</v>
      </c>
    </row>
    <row r="35" spans="3:6">
      <c r="C35" s="87" t="s">
        <v>595</v>
      </c>
      <c r="D35" s="3">
        <f>_xlfn.IFNA(INDEX($E$26:$E$30,MATCH(D$33,$D$26:$D$30,0)),"not in list")</f>
        <v>14</v>
      </c>
      <c r="E35" s="3" t="str">
        <f>_xlfn.IFNA(INDEX($E$26:$E$30,MATCH(E$33,$D$26:$D$30,0)),"not in list")</f>
        <v>not in list</v>
      </c>
      <c r="F35" s="123" t="str">
        <f t="shared" ca="1" si="1"/>
        <v>=IFNA(INDEX($E$26:$E$30,MATCH(E$33,$D$26:$D$30,0)),"not in list")</v>
      </c>
    </row>
  </sheetData>
  <printOptions headings="1" gridLines="1"/>
  <pageMargins left="0.74803149606299213" right="0.74803149606299213" top="0.98425196850393704" bottom="0.98425196850393704" header="0.51181102362204722" footer="0.51181102362204722"/>
  <pageSetup paperSize="9" scale="48" fitToHeight="5" orientation="portrait" r:id="rId1"/>
  <headerFooter alignWithMargins="0">
    <oddHeader>&amp;LExcel Function Dictionary
© 1998 - 2000 Peter Noneley&amp;R&amp;A
Page &amp;P of &amp;N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O50"/>
  <sheetViews>
    <sheetView showGridLines="0" zoomScale="85" zoomScaleNormal="85" workbookViewId="0">
      <pane ySplit="1" topLeftCell="A2" activePane="bottomLeft" state="frozen"/>
      <selection activeCell="K21" sqref="K21"/>
      <selection pane="bottomLeft" activeCell="H1" sqref="H1"/>
    </sheetView>
  </sheetViews>
  <sheetFormatPr baseColWidth="10" defaultColWidth="8.83203125" defaultRowHeight="13"/>
  <cols>
    <col min="1" max="1" width="2.83203125" style="71" customWidth="1"/>
    <col min="2" max="2" width="16.6640625" style="71" customWidth="1"/>
    <col min="3" max="3" width="11.5" style="71" customWidth="1"/>
    <col min="4" max="4" width="15.1640625" style="71" customWidth="1"/>
    <col min="5" max="14" width="9.83203125" style="71" bestFit="1" customWidth="1"/>
    <col min="15" max="15" width="12" style="71" customWidth="1"/>
    <col min="16" max="16384" width="8.83203125" style="71"/>
  </cols>
  <sheetData>
    <row r="1" spans="1:15" ht="19" thickBot="1">
      <c r="A1" s="1" t="s">
        <v>726</v>
      </c>
      <c r="B1" s="1"/>
      <c r="C1" s="1"/>
      <c r="D1" s="1"/>
      <c r="E1" s="1"/>
      <c r="F1" s="1"/>
      <c r="G1" s="1"/>
      <c r="H1" s="1"/>
      <c r="I1" s="1"/>
      <c r="J1" s="1"/>
      <c r="K1" s="1"/>
      <c r="L1" s="1"/>
      <c r="M1" s="1"/>
      <c r="N1" s="1"/>
      <c r="O1" s="1"/>
    </row>
    <row r="2" spans="1:15" ht="14" thickTop="1"/>
    <row r="3" spans="1:15">
      <c r="B3" s="71" t="s">
        <v>80</v>
      </c>
      <c r="E3" s="113"/>
      <c r="G3" s="117">
        <v>43373</v>
      </c>
      <c r="H3" s="117">
        <f>EOMONTH(G3,3)</f>
        <v>43465</v>
      </c>
      <c r="I3" s="117">
        <f t="shared" ref="I3:N3" si="0">EOMONTH(H3,3)</f>
        <v>43555</v>
      </c>
      <c r="J3" s="117">
        <f t="shared" si="0"/>
        <v>43646</v>
      </c>
      <c r="K3" s="117">
        <f t="shared" si="0"/>
        <v>43738</v>
      </c>
      <c r="L3" s="117">
        <f t="shared" si="0"/>
        <v>43830</v>
      </c>
      <c r="M3" s="117">
        <f t="shared" si="0"/>
        <v>43921</v>
      </c>
      <c r="N3" s="117">
        <f t="shared" si="0"/>
        <v>44012</v>
      </c>
      <c r="O3" s="116"/>
    </row>
    <row r="4" spans="1:15">
      <c r="B4" s="71" t="s">
        <v>713</v>
      </c>
      <c r="E4" s="113"/>
      <c r="G4" s="114">
        <v>62.1</v>
      </c>
      <c r="H4" s="114">
        <v>75.2</v>
      </c>
      <c r="I4" s="114">
        <v>77.2</v>
      </c>
      <c r="J4" s="114">
        <v>78</v>
      </c>
      <c r="K4" s="114">
        <v>88.8</v>
      </c>
      <c r="L4" s="114">
        <v>82.3</v>
      </c>
      <c r="M4" s="114">
        <v>85.1</v>
      </c>
      <c r="N4" s="114">
        <v>87.2</v>
      </c>
    </row>
    <row r="6" spans="1:15">
      <c r="B6" s="111" t="s">
        <v>708</v>
      </c>
      <c r="C6" s="111"/>
      <c r="D6" s="71" t="s">
        <v>715</v>
      </c>
      <c r="E6" s="111"/>
      <c r="F6" s="106">
        <v>6.5000000000000002E-2</v>
      </c>
    </row>
    <row r="7" spans="1:15">
      <c r="B7" s="111"/>
      <c r="C7" s="111"/>
      <c r="D7" s="71" t="s">
        <v>716</v>
      </c>
      <c r="E7" s="111"/>
      <c r="F7" s="115">
        <f>(1+F6)^(1/4)-1</f>
        <v>1.586828478278357E-2</v>
      </c>
      <c r="G7" s="123" t="str">
        <f ca="1">_xlfn.FORMULATEXT(F7)</f>
        <v>=(1+F6)^(1/4)-1</v>
      </c>
    </row>
    <row r="9" spans="1:15">
      <c r="B9" s="71" t="s">
        <v>714</v>
      </c>
      <c r="D9" s="118">
        <f>EOMONTH(G3,-3)</f>
        <v>43281</v>
      </c>
      <c r="F9" s="109">
        <f>NPV(F7,G4:N4)</f>
        <v>590.93695360081688</v>
      </c>
      <c r="G9" s="123" t="str">
        <f t="shared" ref="G9:G10" ca="1" si="1">_xlfn.FORMULATEXT(F9)</f>
        <v>=NPV(F7,G4:N4)</v>
      </c>
    </row>
    <row r="10" spans="1:15">
      <c r="D10" s="118">
        <f>G3</f>
        <v>43373</v>
      </c>
      <c r="F10" s="109">
        <f>XNPV(F6,G4:N4,G3:N3)</f>
        <v>600.30072225324602</v>
      </c>
      <c r="G10" s="123" t="str">
        <f t="shared" ca="1" si="1"/>
        <v>=XNPV(F6,G4:N4,G3:N3)</v>
      </c>
    </row>
    <row r="12" spans="1:15" ht="14" thickBot="1">
      <c r="B12" s="14" t="s">
        <v>29</v>
      </c>
      <c r="C12" s="14"/>
      <c r="D12" s="14"/>
      <c r="E12" s="14"/>
      <c r="F12" s="14"/>
      <c r="G12" s="14"/>
      <c r="H12" s="14"/>
      <c r="I12" s="14"/>
      <c r="J12" s="14"/>
      <c r="K12" s="14"/>
      <c r="L12" s="14"/>
      <c r="M12" s="14"/>
      <c r="N12" s="14"/>
      <c r="O12" s="14"/>
    </row>
    <row r="14" spans="1:15">
      <c r="B14" s="71" t="s">
        <v>717</v>
      </c>
    </row>
    <row r="16" spans="1:15">
      <c r="B16" s="71" t="s">
        <v>719</v>
      </c>
    </row>
    <row r="17" spans="2:15">
      <c r="B17" s="61" t="s">
        <v>739</v>
      </c>
    </row>
    <row r="18" spans="2:15">
      <c r="B18" s="61" t="s">
        <v>1035</v>
      </c>
    </row>
    <row r="19" spans="2:15">
      <c r="B19" s="61" t="s">
        <v>722</v>
      </c>
    </row>
    <row r="21" spans="2:15">
      <c r="B21" s="71" t="s">
        <v>718</v>
      </c>
    </row>
    <row r="22" spans="2:15">
      <c r="B22" s="61" t="s">
        <v>740</v>
      </c>
    </row>
    <row r="23" spans="2:15">
      <c r="B23" s="61" t="s">
        <v>720</v>
      </c>
    </row>
    <row r="24" spans="2:15">
      <c r="B24" s="61" t="s">
        <v>721</v>
      </c>
    </row>
    <row r="25" spans="2:15">
      <c r="B25" s="61" t="s">
        <v>723</v>
      </c>
    </row>
    <row r="27" spans="2:15">
      <c r="B27" s="71" t="s">
        <v>787</v>
      </c>
    </row>
    <row r="29" spans="2:15" ht="14" thickBot="1">
      <c r="B29" s="14" t="s">
        <v>24</v>
      </c>
      <c r="C29" s="14"/>
      <c r="D29" s="14"/>
      <c r="E29" s="14"/>
      <c r="F29" s="14"/>
      <c r="G29" s="14"/>
      <c r="H29" s="14"/>
      <c r="I29" s="14"/>
      <c r="J29" s="14"/>
      <c r="K29" s="14"/>
      <c r="L29" s="14"/>
      <c r="M29" s="14"/>
      <c r="N29" s="14"/>
      <c r="O29" s="14"/>
    </row>
    <row r="31" spans="2:15">
      <c r="B31" s="61" t="s">
        <v>725</v>
      </c>
    </row>
    <row r="32" spans="2:15">
      <c r="B32" s="61" t="s">
        <v>724</v>
      </c>
    </row>
    <row r="34" spans="2:15" ht="14" thickBot="1">
      <c r="B34" s="14" t="s">
        <v>25</v>
      </c>
      <c r="C34" s="14"/>
      <c r="D34" s="14"/>
      <c r="E34" s="14"/>
      <c r="F34" s="14"/>
      <c r="G34" s="14"/>
      <c r="H34" s="14"/>
      <c r="I34" s="14"/>
      <c r="J34" s="14"/>
      <c r="K34" s="14"/>
      <c r="L34" s="14"/>
      <c r="M34" s="14"/>
      <c r="N34" s="14"/>
      <c r="O34" s="14"/>
    </row>
    <row r="36" spans="2:15">
      <c r="B36" s="111" t="s">
        <v>710</v>
      </c>
      <c r="E36" s="111"/>
      <c r="F36" s="119"/>
      <c r="G36" s="117">
        <v>41090</v>
      </c>
      <c r="H36" s="117">
        <f>EOMONTH(G36,12)</f>
        <v>41455</v>
      </c>
      <c r="I36" s="117">
        <f>EOMONTH(H36,12)</f>
        <v>41820</v>
      </c>
      <c r="J36" s="117">
        <f>EOMONTH(I36,12)</f>
        <v>42185</v>
      </c>
      <c r="K36" s="117">
        <f>EOMONTH(J36,12)</f>
        <v>42551</v>
      </c>
      <c r="L36" s="117">
        <f>EOMONTH(K36,12)</f>
        <v>42916</v>
      </c>
    </row>
    <row r="37" spans="2:15">
      <c r="B37" s="111" t="s">
        <v>709</v>
      </c>
      <c r="E37" s="111"/>
      <c r="F37" s="111"/>
      <c r="G37" s="43">
        <v>1</v>
      </c>
      <c r="H37" s="43">
        <v>2</v>
      </c>
      <c r="I37" s="43">
        <v>3</v>
      </c>
      <c r="J37" s="43">
        <v>4</v>
      </c>
      <c r="K37" s="43">
        <v>5</v>
      </c>
      <c r="L37" s="43">
        <v>6</v>
      </c>
    </row>
    <row r="38" spans="2:15">
      <c r="G38" s="111"/>
    </row>
    <row r="39" spans="2:15">
      <c r="B39" s="111" t="s">
        <v>708</v>
      </c>
      <c r="C39" s="111"/>
      <c r="D39" s="111"/>
      <c r="E39" s="111"/>
      <c r="F39" s="106">
        <v>7.0000000000000007E-2</v>
      </c>
      <c r="I39" s="120"/>
      <c r="J39" s="120"/>
      <c r="K39" s="120"/>
      <c r="L39" s="120"/>
    </row>
    <row r="40" spans="2:15">
      <c r="B40" s="111" t="s">
        <v>707</v>
      </c>
      <c r="C40" s="111"/>
      <c r="E40" s="113" t="s">
        <v>712</v>
      </c>
      <c r="F40" s="111"/>
      <c r="G40" s="110">
        <f t="shared" ref="G40:L40" si="2">1/(1+$F39)^G37</f>
        <v>0.93457943925233644</v>
      </c>
      <c r="H40" s="110">
        <f t="shared" si="2"/>
        <v>0.87343872827321156</v>
      </c>
      <c r="I40" s="110">
        <f t="shared" si="2"/>
        <v>0.81629787689085187</v>
      </c>
      <c r="J40" s="110">
        <f t="shared" si="2"/>
        <v>0.7628952120475252</v>
      </c>
      <c r="K40" s="110">
        <f t="shared" si="2"/>
        <v>0.71298617948366838</v>
      </c>
      <c r="L40" s="110">
        <f t="shared" si="2"/>
        <v>0.66634222381651254</v>
      </c>
      <c r="M40" s="123" t="str">
        <f ca="1">_xlfn.FORMULATEXT(L40)</f>
        <v>=1/(1+$F39)^L37</v>
      </c>
    </row>
    <row r="41" spans="2:15">
      <c r="B41" s="111"/>
      <c r="C41" s="111"/>
      <c r="E41" s="111"/>
      <c r="F41" s="111"/>
      <c r="G41" s="121"/>
      <c r="H41" s="121"/>
      <c r="I41" s="121"/>
      <c r="J41" s="121"/>
      <c r="K41" s="121"/>
      <c r="L41" s="121"/>
    </row>
    <row r="42" spans="2:15">
      <c r="B42" s="111" t="s">
        <v>711</v>
      </c>
      <c r="C42" s="70"/>
      <c r="D42" s="70"/>
      <c r="E42" s="113" t="s">
        <v>712</v>
      </c>
      <c r="F42" s="122"/>
      <c r="G42" s="107">
        <v>8105.015560000038</v>
      </c>
      <c r="H42" s="107">
        <v>638.30467605396507</v>
      </c>
      <c r="I42" s="107">
        <v>9720.8480079504407</v>
      </c>
      <c r="J42" s="107">
        <v>16902.86744724786</v>
      </c>
      <c r="K42" s="107">
        <v>21131.265453884131</v>
      </c>
      <c r="L42" s="107">
        <v>25344.733893574681</v>
      </c>
    </row>
    <row r="43" spans="2:15">
      <c r="B43" s="111" t="s">
        <v>706</v>
      </c>
      <c r="C43" s="111"/>
      <c r="E43" s="113" t="s">
        <v>712</v>
      </c>
      <c r="F43" s="111"/>
      <c r="G43" s="108">
        <f t="shared" ref="G43:L43" si="3">G40*G42</f>
        <v>7574.7808971962968</v>
      </c>
      <c r="H43" s="108">
        <f t="shared" si="3"/>
        <v>557.52002450341956</v>
      </c>
      <c r="I43" s="108">
        <f t="shared" si="3"/>
        <v>7935.1075904686113</v>
      </c>
      <c r="J43" s="108">
        <f t="shared" si="3"/>
        <v>12895.116645379367</v>
      </c>
      <c r="K43" s="108">
        <f t="shared" si="3"/>
        <v>15066.300223620072</v>
      </c>
      <c r="L43" s="108">
        <f t="shared" si="3"/>
        <v>16888.266344682292</v>
      </c>
      <c r="M43" s="123" t="str">
        <f ca="1">_xlfn.FORMULATEXT(L43)</f>
        <v>=L40*L42</v>
      </c>
    </row>
    <row r="44" spans="2:15">
      <c r="B44" s="111"/>
      <c r="E44" s="111"/>
      <c r="F44" s="111"/>
    </row>
    <row r="45" spans="2:15">
      <c r="B45" s="111" t="s">
        <v>827</v>
      </c>
      <c r="C45" s="118">
        <f>G36</f>
        <v>41090</v>
      </c>
      <c r="E45" s="113" t="s">
        <v>712</v>
      </c>
      <c r="F45" s="111"/>
      <c r="G45" s="108">
        <f>SUM(G43:L43)</f>
        <v>60917.091725850056</v>
      </c>
      <c r="H45" s="123" t="str">
        <f ca="1">_xlfn.FORMULATEXT(G45)</f>
        <v>=SUM(G43:L43)</v>
      </c>
      <c r="I45" s="111"/>
    </row>
    <row r="46" spans="2:15">
      <c r="B46" s="111" t="s">
        <v>705</v>
      </c>
      <c r="E46" s="113" t="s">
        <v>712</v>
      </c>
      <c r="F46" s="111"/>
      <c r="G46" s="108">
        <f>NPV(F39,G42:L42)</f>
        <v>60917.091725850049</v>
      </c>
      <c r="H46" s="123" t="str">
        <f ca="1">_xlfn.FORMULATEXT(G46)</f>
        <v>=NPV(F39,G42:L42)</v>
      </c>
      <c r="I46" s="111"/>
    </row>
    <row r="48" spans="2:15">
      <c r="B48" s="111" t="s">
        <v>704</v>
      </c>
      <c r="E48" s="112"/>
      <c r="F48" s="111"/>
      <c r="G48" s="111"/>
      <c r="H48" s="111"/>
      <c r="I48" s="111"/>
      <c r="J48" s="111"/>
      <c r="K48" s="111"/>
      <c r="L48" s="111"/>
    </row>
    <row r="49" spans="2:12">
      <c r="B49" s="111" t="s">
        <v>703</v>
      </c>
      <c r="C49" s="111"/>
      <c r="D49" s="111"/>
      <c r="E49" s="113" t="s">
        <v>712</v>
      </c>
      <c r="F49" s="111"/>
      <c r="G49" s="108">
        <f>XNPV(F39,G42:L42,G36:L36)*G40</f>
        <v>60911.168979499693</v>
      </c>
      <c r="H49" s="123" t="str">
        <f ca="1">_xlfn.FORMULATEXT(G49)</f>
        <v>=XNPV(F39,G42:L42,G36:L36)*G40</v>
      </c>
      <c r="I49" s="111"/>
      <c r="J49" s="111"/>
      <c r="K49" s="111"/>
      <c r="L49" s="111"/>
    </row>
    <row r="50" spans="2:12">
      <c r="G50" s="111" t="s">
        <v>702</v>
      </c>
    </row>
  </sheetData>
  <printOptions headings="1" gridLines="1"/>
  <pageMargins left="0.74803149606299213" right="0.74803149606299213" top="0.98425196850393704" bottom="0.98425196850393704" header="0.51181102362204722" footer="0.51181102362204722"/>
  <pageSetup paperSize="9" scale="51" fitToHeight="5" orientation="portrait" r:id="rId1"/>
  <headerFooter alignWithMargins="0">
    <oddHeader>&amp;LExcel Function Dictionary
© 1998 - 2000 Peter Noneley&amp;R&amp;A
Page &amp;P of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O47"/>
  <sheetViews>
    <sheetView showGridLines="0" zoomScale="85" zoomScaleNormal="85" workbookViewId="0">
      <pane ySplit="1" topLeftCell="A8" activePane="bottomLeft" state="frozen"/>
      <selection activeCell="K21" sqref="K21"/>
      <selection pane="bottomLeft" activeCell="L46" sqref="L46"/>
    </sheetView>
  </sheetViews>
  <sheetFormatPr baseColWidth="10" defaultColWidth="8.83203125" defaultRowHeight="13"/>
  <cols>
    <col min="1" max="1" width="2.83203125" style="71" customWidth="1"/>
    <col min="2" max="2" width="14.83203125" style="71" customWidth="1"/>
    <col min="3" max="3" width="11.5" style="71" customWidth="1"/>
    <col min="4" max="4" width="15.1640625" style="71" customWidth="1"/>
    <col min="5" max="6" width="9.83203125" style="71" bestFit="1" customWidth="1"/>
    <col min="7" max="7" width="10.5" style="71" bestFit="1" customWidth="1"/>
    <col min="8" max="14" width="9.83203125" style="71" bestFit="1" customWidth="1"/>
    <col min="15" max="15" width="12" style="71" customWidth="1"/>
    <col min="16" max="16384" width="8.83203125" style="71"/>
  </cols>
  <sheetData>
    <row r="1" spans="1:15" ht="19" thickBot="1">
      <c r="A1" s="1" t="s">
        <v>832</v>
      </c>
      <c r="B1" s="1"/>
      <c r="C1" s="1"/>
      <c r="D1" s="1"/>
      <c r="E1" s="1"/>
      <c r="F1" s="1"/>
      <c r="G1" s="1"/>
      <c r="H1" s="1"/>
      <c r="I1" s="1"/>
      <c r="J1" s="1"/>
      <c r="K1" s="1"/>
      <c r="L1" s="1"/>
      <c r="M1" s="1"/>
      <c r="N1" s="1"/>
      <c r="O1" s="1"/>
    </row>
    <row r="2" spans="1:15" ht="14" thickTop="1"/>
    <row r="3" spans="1:15">
      <c r="B3" s="71" t="s">
        <v>80</v>
      </c>
      <c r="E3" s="113"/>
      <c r="G3" s="117">
        <v>41090</v>
      </c>
      <c r="H3" s="117">
        <f>EOMONTH(G3,12)</f>
        <v>41455</v>
      </c>
      <c r="I3" s="117">
        <f t="shared" ref="I3:N3" si="0">EOMONTH(H3,12)</f>
        <v>41820</v>
      </c>
      <c r="J3" s="117">
        <f t="shared" si="0"/>
        <v>42185</v>
      </c>
      <c r="K3" s="117">
        <f t="shared" si="0"/>
        <v>42551</v>
      </c>
      <c r="L3" s="117">
        <f t="shared" si="0"/>
        <v>42916</v>
      </c>
      <c r="M3" s="117">
        <f t="shared" si="0"/>
        <v>43281</v>
      </c>
      <c r="N3" s="117">
        <f t="shared" si="0"/>
        <v>43646</v>
      </c>
      <c r="O3" s="116"/>
    </row>
    <row r="4" spans="1:15">
      <c r="B4" s="71" t="s">
        <v>809</v>
      </c>
      <c r="E4" s="113" t="s">
        <v>712</v>
      </c>
      <c r="G4" s="114">
        <v>400</v>
      </c>
      <c r="H4" s="114"/>
      <c r="I4" s="114"/>
      <c r="J4" s="114"/>
      <c r="K4" s="114"/>
      <c r="L4" s="114"/>
      <c r="M4" s="114"/>
      <c r="N4" s="114"/>
    </row>
    <row r="5" spans="1:15">
      <c r="B5" s="71" t="s">
        <v>810</v>
      </c>
      <c r="E5" s="113" t="s">
        <v>712</v>
      </c>
      <c r="G5" s="114"/>
      <c r="H5" s="114"/>
      <c r="I5" s="114">
        <v>77.2</v>
      </c>
      <c r="J5" s="114">
        <v>78</v>
      </c>
      <c r="K5" s="114">
        <v>88.8</v>
      </c>
      <c r="L5" s="114">
        <v>82.3</v>
      </c>
      <c r="M5" s="114">
        <v>85.1</v>
      </c>
      <c r="N5" s="114">
        <v>87.2</v>
      </c>
    </row>
    <row r="6" spans="1:15">
      <c r="B6" s="71" t="s">
        <v>811</v>
      </c>
      <c r="E6" s="113" t="s">
        <v>712</v>
      </c>
      <c r="G6" s="109">
        <f>G5-G4</f>
        <v>-400</v>
      </c>
      <c r="H6" s="109">
        <f t="shared" ref="H6:N6" si="1">H5-H4</f>
        <v>0</v>
      </c>
      <c r="I6" s="109">
        <f t="shared" si="1"/>
        <v>77.2</v>
      </c>
      <c r="J6" s="109">
        <f t="shared" si="1"/>
        <v>78</v>
      </c>
      <c r="K6" s="109">
        <f t="shared" si="1"/>
        <v>88.8</v>
      </c>
      <c r="L6" s="109">
        <f t="shared" si="1"/>
        <v>82.3</v>
      </c>
      <c r="M6" s="109">
        <f t="shared" si="1"/>
        <v>85.1</v>
      </c>
      <c r="N6" s="109">
        <f t="shared" si="1"/>
        <v>87.2</v>
      </c>
    </row>
    <row r="8" spans="1:15">
      <c r="B8" s="71" t="s">
        <v>812</v>
      </c>
      <c r="D8" s="118" t="s">
        <v>813</v>
      </c>
      <c r="F8" s="189">
        <f>IRR($G$6:$N$6)</f>
        <v>5.0247043292811711E-2</v>
      </c>
      <c r="G8" s="123" t="str">
        <f t="shared" ref="G8:G9" ca="1" si="2">_xlfn.FORMULATEXT(F8)</f>
        <v>=IRR($G$6:$N$6)</v>
      </c>
    </row>
    <row r="9" spans="1:15">
      <c r="D9" s="118" t="s">
        <v>814</v>
      </c>
      <c r="F9" s="189">
        <f>XIRR($G$6:$N$6,$G$3:$N$3)</f>
        <v>5.0226113200187689E-2</v>
      </c>
      <c r="G9" s="123" t="str">
        <f t="shared" ca="1" si="2"/>
        <v>=XIRR($G$6:$N$6,$G$3:$N$3)</v>
      </c>
    </row>
    <row r="10" spans="1:15">
      <c r="F10" s="190"/>
    </row>
    <row r="11" spans="1:15" ht="14" thickBot="1">
      <c r="B11" s="14" t="s">
        <v>29</v>
      </c>
      <c r="C11" s="14"/>
      <c r="D11" s="14"/>
      <c r="E11" s="14"/>
      <c r="F11" s="14"/>
      <c r="G11" s="14"/>
      <c r="H11" s="14"/>
      <c r="I11" s="14"/>
      <c r="J11" s="14"/>
      <c r="K11" s="14"/>
      <c r="L11" s="14"/>
      <c r="M11" s="14"/>
      <c r="N11" s="14"/>
      <c r="O11" s="14"/>
    </row>
    <row r="13" spans="1:15">
      <c r="B13" s="71" t="s">
        <v>815</v>
      </c>
    </row>
    <row r="14" spans="1:15">
      <c r="B14" s="71" t="s">
        <v>819</v>
      </c>
    </row>
    <row r="15" spans="1:15">
      <c r="B15" s="71" t="s">
        <v>823</v>
      </c>
    </row>
    <row r="17" spans="2:15">
      <c r="B17" s="71" t="s">
        <v>816</v>
      </c>
    </row>
    <row r="18" spans="2:15">
      <c r="B18" s="61" t="s">
        <v>739</v>
      </c>
    </row>
    <row r="19" spans="2:15">
      <c r="B19" s="61" t="s">
        <v>817</v>
      </c>
    </row>
    <row r="21" spans="2:15">
      <c r="B21" s="71" t="s">
        <v>1227</v>
      </c>
    </row>
    <row r="22" spans="2:15">
      <c r="B22" s="61" t="s">
        <v>740</v>
      </c>
    </row>
    <row r="23" spans="2:15">
      <c r="B23" s="61" t="s">
        <v>834</v>
      </c>
    </row>
    <row r="24" spans="2:15">
      <c r="B24" s="61" t="s">
        <v>723</v>
      </c>
    </row>
    <row r="26" spans="2:15">
      <c r="B26" s="71" t="s">
        <v>818</v>
      </c>
    </row>
    <row r="28" spans="2:15" ht="14" thickBot="1">
      <c r="B28" s="14" t="s">
        <v>24</v>
      </c>
      <c r="C28" s="14"/>
      <c r="D28" s="14"/>
      <c r="E28" s="14"/>
      <c r="F28" s="14"/>
      <c r="G28" s="14"/>
      <c r="H28" s="14"/>
      <c r="I28" s="14"/>
      <c r="J28" s="14"/>
      <c r="K28" s="14"/>
      <c r="L28" s="14"/>
      <c r="M28" s="14"/>
      <c r="N28" s="14"/>
      <c r="O28" s="14"/>
    </row>
    <row r="30" spans="2:15">
      <c r="B30" s="61" t="s">
        <v>820</v>
      </c>
      <c r="D30" s="193" t="s">
        <v>821</v>
      </c>
      <c r="E30" s="191" t="s">
        <v>822</v>
      </c>
    </row>
    <row r="31" spans="2:15">
      <c r="B31" s="61" t="s">
        <v>824</v>
      </c>
      <c r="E31" s="61" t="s">
        <v>825</v>
      </c>
    </row>
    <row r="33" spans="2:15">
      <c r="E33" s="71" t="s">
        <v>826</v>
      </c>
    </row>
    <row r="35" spans="2:15" ht="14" thickBot="1">
      <c r="B35" s="14" t="s">
        <v>25</v>
      </c>
      <c r="C35" s="14"/>
      <c r="D35" s="14"/>
      <c r="E35" s="14"/>
      <c r="F35" s="14"/>
      <c r="G35" s="14"/>
      <c r="H35" s="14"/>
      <c r="I35" s="14"/>
      <c r="J35" s="14"/>
      <c r="K35" s="14"/>
      <c r="L35" s="14"/>
      <c r="M35" s="14"/>
      <c r="N35" s="14"/>
      <c r="O35" s="14"/>
    </row>
    <row r="37" spans="2:15">
      <c r="B37" s="111" t="s">
        <v>653</v>
      </c>
      <c r="E37" s="111"/>
      <c r="F37" s="119"/>
      <c r="G37" s="117">
        <v>42916</v>
      </c>
      <c r="H37" s="117">
        <f>EOMONTH(G37,3)</f>
        <v>43008</v>
      </c>
      <c r="I37" s="117">
        <f t="shared" ref="I37:O37" si="3">EOMONTH(H37,3)</f>
        <v>43100</v>
      </c>
      <c r="J37" s="117">
        <f t="shared" si="3"/>
        <v>43190</v>
      </c>
      <c r="K37" s="117">
        <f t="shared" si="3"/>
        <v>43281</v>
      </c>
      <c r="L37" s="117">
        <f t="shared" si="3"/>
        <v>43373</v>
      </c>
      <c r="M37" s="117">
        <f t="shared" si="3"/>
        <v>43465</v>
      </c>
      <c r="N37" s="117">
        <f t="shared" si="3"/>
        <v>43555</v>
      </c>
      <c r="O37" s="117">
        <f t="shared" si="3"/>
        <v>43646</v>
      </c>
    </row>
    <row r="38" spans="2:15">
      <c r="B38" s="111" t="s">
        <v>709</v>
      </c>
      <c r="E38" s="111"/>
      <c r="F38" s="111"/>
      <c r="G38" s="43">
        <v>1</v>
      </c>
      <c r="H38" s="43">
        <v>2</v>
      </c>
      <c r="I38" s="43">
        <v>3</v>
      </c>
      <c r="J38" s="43">
        <v>4</v>
      </c>
      <c r="K38" s="43">
        <v>5</v>
      </c>
      <c r="L38" s="43">
        <v>6</v>
      </c>
      <c r="M38" s="43">
        <v>7</v>
      </c>
      <c r="N38" s="43">
        <v>8</v>
      </c>
      <c r="O38" s="43">
        <v>9</v>
      </c>
    </row>
    <row r="39" spans="2:15">
      <c r="G39" s="111"/>
    </row>
    <row r="40" spans="2:15">
      <c r="B40" s="111" t="s">
        <v>711</v>
      </c>
      <c r="C40" s="70"/>
      <c r="D40" s="70"/>
      <c r="E40" s="113" t="s">
        <v>712</v>
      </c>
      <c r="F40" s="122"/>
      <c r="G40" s="107">
        <v>-80000</v>
      </c>
      <c r="H40" s="107">
        <v>-30000</v>
      </c>
      <c r="I40" s="107">
        <v>-2000</v>
      </c>
      <c r="J40" s="107">
        <v>15000</v>
      </c>
      <c r="K40" s="107">
        <v>20000</v>
      </c>
      <c r="L40" s="107">
        <v>25000</v>
      </c>
      <c r="M40" s="107">
        <v>25000</v>
      </c>
      <c r="N40" s="107">
        <v>25000</v>
      </c>
      <c r="O40" s="107">
        <v>25000</v>
      </c>
    </row>
    <row r="41" spans="2:15">
      <c r="B41" s="111"/>
      <c r="E41" s="111"/>
      <c r="F41" s="111"/>
    </row>
    <row r="42" spans="2:15">
      <c r="B42" s="111" t="s">
        <v>828</v>
      </c>
      <c r="C42" s="71" t="s">
        <v>813</v>
      </c>
      <c r="E42" s="113"/>
      <c r="F42" s="111"/>
      <c r="G42" s="189">
        <f>(1+IRR($G$40:$O$40))^4-1</f>
        <v>0.14850782597586321</v>
      </c>
      <c r="H42" s="123" t="str">
        <f ca="1">_xlfn.FORMULATEXT(G42)</f>
        <v>=(1+IRR($G$40:$O$40))^4-1</v>
      </c>
      <c r="I42" s="111"/>
      <c r="K42" s="71" t="s">
        <v>833</v>
      </c>
    </row>
    <row r="43" spans="2:15">
      <c r="B43" s="111"/>
      <c r="C43" s="71" t="s">
        <v>814</v>
      </c>
      <c r="E43" s="113"/>
      <c r="F43" s="111"/>
      <c r="G43" s="189">
        <f>XIRR($G$40:$O$40,$G$37:$O$37)</f>
        <v>0.14841982722282412</v>
      </c>
      <c r="H43" s="123" t="str">
        <f ca="1">_xlfn.FORMULATEXT(G43)</f>
        <v>=XIRR($G$40:$O$40,$G$37:$O$37)</v>
      </c>
      <c r="I43" s="111"/>
    </row>
    <row r="44" spans="2:15">
      <c r="B44" s="111"/>
      <c r="E44" s="113"/>
      <c r="F44" s="111"/>
      <c r="G44" s="111"/>
    </row>
    <row r="46" spans="2:15">
      <c r="B46" s="71" t="s">
        <v>829</v>
      </c>
      <c r="C46" s="71" t="s">
        <v>830</v>
      </c>
      <c r="E46" s="113" t="s">
        <v>712</v>
      </c>
      <c r="G46" s="192">
        <f>NPV((1+G42)^0.25-1,$G$40:$O$40)</f>
        <v>2.4599411365096074E-11</v>
      </c>
      <c r="H46" s="123" t="str">
        <f ca="1">_xlfn.FORMULATEXT(G46)</f>
        <v>=NPV((1+G42)^0.25-1,$G$40:$O$40)</v>
      </c>
    </row>
    <row r="47" spans="2:15">
      <c r="C47" s="71" t="s">
        <v>831</v>
      </c>
      <c r="E47" s="113" t="s">
        <v>712</v>
      </c>
      <c r="G47" s="192">
        <f>XNPV(G43,$G$40:$O$40,$G$37:$O$37)</f>
        <v>-4.1332015825901181E-5</v>
      </c>
      <c r="H47" s="123" t="str">
        <f ca="1">_xlfn.FORMULATEXT(G47)</f>
        <v>=XNPV(G43,$G$40:$O$40,$G$37:$O$37)</v>
      </c>
    </row>
  </sheetData>
  <printOptions headings="1" gridLines="1"/>
  <pageMargins left="0.74803149606299213" right="0.74803149606299213" top="0.98425196850393704" bottom="0.98425196850393704" header="0.51181102362204722" footer="0.51181102362204722"/>
  <pageSetup paperSize="9" scale="47" fitToHeight="5" orientation="portrait" r:id="rId1"/>
  <headerFooter alignWithMargins="0">
    <oddHeader>&amp;LExcel Function Dictionary
© 1998 - 2000 Peter Noneley&amp;R&amp;A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O73"/>
  <sheetViews>
    <sheetView showGridLines="0" zoomScale="85" zoomScaleNormal="85" workbookViewId="0">
      <pane ySplit="1" topLeftCell="A29" activePane="bottomLeft" state="frozen"/>
      <selection activeCell="K21" sqref="K21"/>
      <selection pane="bottomLeft" activeCell="F54" sqref="F54"/>
    </sheetView>
  </sheetViews>
  <sheetFormatPr baseColWidth="10" defaultColWidth="8.83203125" defaultRowHeight="13"/>
  <cols>
    <col min="1" max="1" width="2.83203125" style="71" customWidth="1"/>
    <col min="2" max="2" width="35.6640625" style="71" customWidth="1"/>
    <col min="3" max="3" width="11.5" style="71" customWidth="1"/>
    <col min="4" max="4" width="5.33203125" style="71" customWidth="1"/>
    <col min="5" max="5" width="9.83203125" style="71" bestFit="1" customWidth="1"/>
    <col min="6" max="6" width="8.6640625" style="71" customWidth="1"/>
    <col min="7" max="14" width="9.83203125" style="71" bestFit="1" customWidth="1"/>
    <col min="15" max="15" width="42" style="71" bestFit="1" customWidth="1"/>
    <col min="16" max="16384" width="8.83203125" style="71"/>
  </cols>
  <sheetData>
    <row r="1" spans="1:15" ht="19" thickBot="1">
      <c r="A1" s="1" t="s">
        <v>735</v>
      </c>
      <c r="B1" s="1"/>
      <c r="C1" s="1"/>
      <c r="D1" s="1"/>
      <c r="E1" s="1"/>
      <c r="F1" s="1"/>
      <c r="G1" s="1"/>
      <c r="H1" s="1"/>
      <c r="I1" s="1"/>
      <c r="J1" s="1"/>
      <c r="K1" s="1"/>
      <c r="L1" s="1"/>
      <c r="M1" s="1"/>
      <c r="N1" s="1"/>
      <c r="O1" s="1"/>
    </row>
    <row r="2" spans="1:15" ht="14" thickTop="1"/>
    <row r="3" spans="1:15">
      <c r="B3" s="71" t="s">
        <v>521</v>
      </c>
      <c r="G3" s="43">
        <v>2019</v>
      </c>
      <c r="H3" s="43">
        <f>G3+1</f>
        <v>2020</v>
      </c>
      <c r="I3" s="43">
        <f t="shared" ref="I3:N3" si="0">H3+1</f>
        <v>2021</v>
      </c>
      <c r="J3" s="43">
        <f t="shared" si="0"/>
        <v>2022</v>
      </c>
      <c r="K3" s="43">
        <f t="shared" si="0"/>
        <v>2023</v>
      </c>
      <c r="L3" s="43">
        <f t="shared" si="0"/>
        <v>2024</v>
      </c>
      <c r="M3" s="43">
        <f t="shared" si="0"/>
        <v>2025</v>
      </c>
      <c r="N3" s="43">
        <f t="shared" si="0"/>
        <v>2026</v>
      </c>
    </row>
    <row r="4" spans="1:15">
      <c r="B4" s="71" t="s">
        <v>731</v>
      </c>
      <c r="G4" s="43">
        <f t="shared" ref="G4" si="1">F4+1</f>
        <v>1</v>
      </c>
      <c r="H4" s="43">
        <f>G4+1</f>
        <v>2</v>
      </c>
      <c r="I4" s="43">
        <f t="shared" ref="I4:N4" si="2">H4+1</f>
        <v>3</v>
      </c>
      <c r="J4" s="43">
        <f t="shared" si="2"/>
        <v>4</v>
      </c>
      <c r="K4" s="43">
        <f t="shared" si="2"/>
        <v>5</v>
      </c>
      <c r="L4" s="43">
        <f t="shared" si="2"/>
        <v>6</v>
      </c>
      <c r="M4" s="43">
        <f t="shared" si="2"/>
        <v>7</v>
      </c>
      <c r="N4" s="43">
        <f t="shared" si="2"/>
        <v>8</v>
      </c>
    </row>
    <row r="6" spans="1:15">
      <c r="B6" s="71" t="s">
        <v>727</v>
      </c>
      <c r="C6" s="71" t="s">
        <v>730</v>
      </c>
      <c r="E6" s="106">
        <v>0.06</v>
      </c>
    </row>
    <row r="7" spans="1:15">
      <c r="B7" s="71" t="s">
        <v>728</v>
      </c>
      <c r="C7" s="71" t="s">
        <v>729</v>
      </c>
      <c r="E7" s="108">
        <f>MAX(G4:O4)</f>
        <v>8</v>
      </c>
    </row>
    <row r="8" spans="1:15">
      <c r="B8" s="71" t="s">
        <v>732</v>
      </c>
      <c r="C8" s="71" t="s">
        <v>733</v>
      </c>
      <c r="E8" s="107">
        <v>50</v>
      </c>
    </row>
    <row r="10" spans="1:15">
      <c r="B10" s="71" t="s">
        <v>734</v>
      </c>
      <c r="C10" s="71" t="s">
        <v>733</v>
      </c>
      <c r="G10" s="109">
        <f>PMT($E$6,$E$7,$E$8)</f>
        <v>-8.0517971324064561</v>
      </c>
      <c r="H10" s="109">
        <f t="shared" ref="H10:N10" si="3">PMT($E$6,$E$7,$E$8)</f>
        <v>-8.0517971324064561</v>
      </c>
      <c r="I10" s="109">
        <f t="shared" si="3"/>
        <v>-8.0517971324064561</v>
      </c>
      <c r="J10" s="109">
        <f t="shared" si="3"/>
        <v>-8.0517971324064561</v>
      </c>
      <c r="K10" s="109">
        <f t="shared" si="3"/>
        <v>-8.0517971324064561</v>
      </c>
      <c r="L10" s="109">
        <f t="shared" si="3"/>
        <v>-8.0517971324064561</v>
      </c>
      <c r="M10" s="109">
        <f t="shared" si="3"/>
        <v>-8.0517971324064561</v>
      </c>
      <c r="N10" s="109">
        <f t="shared" si="3"/>
        <v>-8.0517971324064561</v>
      </c>
      <c r="O10" s="123" t="str">
        <f ca="1">_xlfn.FORMULATEXT(N10)</f>
        <v>=PMT($E$6,$E$7,$E$8)</v>
      </c>
    </row>
    <row r="11" spans="1:15">
      <c r="B11" s="71" t="s">
        <v>736</v>
      </c>
      <c r="C11" s="71" t="s">
        <v>733</v>
      </c>
      <c r="G11" s="109">
        <f>PPMT($E$6,G$4,$E$7,$E$8)</f>
        <v>-5.0517971324064552</v>
      </c>
      <c r="H11" s="109">
        <f t="shared" ref="H11:N11" si="4">PPMT($E$6,H$4,$E$7,$E$8)</f>
        <v>-5.3549049603508427</v>
      </c>
      <c r="I11" s="109">
        <f t="shared" si="4"/>
        <v>-5.6761992579718932</v>
      </c>
      <c r="J11" s="109">
        <f t="shared" si="4"/>
        <v>-6.0167712134502072</v>
      </c>
      <c r="K11" s="109">
        <f t="shared" si="4"/>
        <v>-6.3777774862572203</v>
      </c>
      <c r="L11" s="109">
        <f t="shared" si="4"/>
        <v>-6.7604441354326523</v>
      </c>
      <c r="M11" s="109">
        <f t="shared" si="4"/>
        <v>-7.1660707835586122</v>
      </c>
      <c r="N11" s="109">
        <f t="shared" si="4"/>
        <v>-7.5960350305721285</v>
      </c>
      <c r="O11" s="123" t="str">
        <f ca="1">_xlfn.FORMULATEXT(N11)</f>
        <v>=PPMT($E$6,N$4,$E$7,$E$8)</v>
      </c>
    </row>
    <row r="12" spans="1:15">
      <c r="B12" s="71" t="s">
        <v>737</v>
      </c>
      <c r="C12" s="71" t="s">
        <v>733</v>
      </c>
      <c r="G12" s="109">
        <f>IPMT($E$6,G$4,$E$7,$E$8)</f>
        <v>-3</v>
      </c>
      <c r="H12" s="109">
        <f t="shared" ref="H12:N12" si="5">IPMT($E$6,H$4,$E$7,$E$8)</f>
        <v>-2.6968921720556129</v>
      </c>
      <c r="I12" s="109">
        <f t="shared" si="5"/>
        <v>-2.3755978744345621</v>
      </c>
      <c r="J12" s="109">
        <f t="shared" si="5"/>
        <v>-2.035025918956249</v>
      </c>
      <c r="K12" s="109">
        <f t="shared" si="5"/>
        <v>-1.6740196461492365</v>
      </c>
      <c r="L12" s="109">
        <f t="shared" si="5"/>
        <v>-1.2913529969738031</v>
      </c>
      <c r="M12" s="109">
        <f t="shared" si="5"/>
        <v>-0.8857263488478444</v>
      </c>
      <c r="N12" s="109">
        <f t="shared" si="5"/>
        <v>-0.45576210183432764</v>
      </c>
      <c r="O12" s="123" t="str">
        <f ca="1">_xlfn.FORMULATEXT(N12)</f>
        <v>=IPMT($E$6,N$4,$E$7,$E$8)</v>
      </c>
    </row>
    <row r="14" spans="1:15">
      <c r="B14" s="71" t="s">
        <v>738</v>
      </c>
      <c r="G14" s="133">
        <f>--(ROUND(SUM(G11:G12)-G10,3)&lt;&gt;0)</f>
        <v>0</v>
      </c>
      <c r="H14" s="133">
        <f t="shared" ref="H14:N14" si="6">--(ROUND(SUM(H11:H12)-H10,3)&lt;&gt;0)</f>
        <v>0</v>
      </c>
      <c r="I14" s="133">
        <f t="shared" si="6"/>
        <v>0</v>
      </c>
      <c r="J14" s="133">
        <f t="shared" si="6"/>
        <v>0</v>
      </c>
      <c r="K14" s="133">
        <f t="shared" si="6"/>
        <v>0</v>
      </c>
      <c r="L14" s="133">
        <f t="shared" si="6"/>
        <v>0</v>
      </c>
      <c r="M14" s="133">
        <f t="shared" si="6"/>
        <v>0</v>
      </c>
      <c r="N14" s="133">
        <f t="shared" si="6"/>
        <v>0</v>
      </c>
    </row>
    <row r="16" spans="1:15" ht="14" thickBot="1">
      <c r="B16" s="14" t="s">
        <v>29</v>
      </c>
      <c r="C16" s="14"/>
      <c r="D16" s="14"/>
      <c r="E16" s="14"/>
      <c r="F16" s="14"/>
      <c r="G16" s="14"/>
      <c r="H16" s="14"/>
      <c r="I16" s="14"/>
      <c r="J16" s="14"/>
      <c r="K16" s="14"/>
      <c r="L16" s="14"/>
      <c r="M16" s="14"/>
      <c r="N16" s="14"/>
      <c r="O16" s="14"/>
    </row>
    <row r="18" spans="2:15">
      <c r="B18" s="71" t="s">
        <v>1043</v>
      </c>
    </row>
    <row r="19" spans="2:15">
      <c r="B19" s="71" t="s">
        <v>1044</v>
      </c>
    </row>
    <row r="20" spans="2:15">
      <c r="B20" s="71" t="s">
        <v>1045</v>
      </c>
    </row>
    <row r="22" spans="2:15">
      <c r="B22" s="71" t="s">
        <v>741</v>
      </c>
    </row>
    <row r="23" spans="2:15">
      <c r="B23" s="61" t="s">
        <v>742</v>
      </c>
    </row>
    <row r="24" spans="2:15">
      <c r="B24" s="61" t="s">
        <v>1047</v>
      </c>
    </row>
    <row r="25" spans="2:15">
      <c r="B25" s="61" t="s">
        <v>764</v>
      </c>
    </row>
    <row r="26" spans="2:15">
      <c r="B26" s="61" t="s">
        <v>1046</v>
      </c>
    </row>
    <row r="27" spans="2:15">
      <c r="B27" s="61" t="s">
        <v>743</v>
      </c>
    </row>
    <row r="29" spans="2:15" ht="14" thickBot="1">
      <c r="B29" s="14" t="s">
        <v>24</v>
      </c>
      <c r="C29" s="14"/>
      <c r="D29" s="14"/>
      <c r="E29" s="14"/>
      <c r="F29" s="14"/>
      <c r="G29" s="14"/>
      <c r="H29" s="14"/>
      <c r="I29" s="14"/>
      <c r="J29" s="14"/>
      <c r="K29" s="14"/>
      <c r="L29" s="14"/>
      <c r="M29" s="14"/>
      <c r="N29" s="14"/>
      <c r="O29" s="14"/>
    </row>
    <row r="31" spans="2:15">
      <c r="B31" s="61" t="s">
        <v>744</v>
      </c>
    </row>
    <row r="32" spans="2:15">
      <c r="B32" s="61" t="s">
        <v>745</v>
      </c>
    </row>
    <row r="33" spans="2:15">
      <c r="B33" s="61" t="s">
        <v>746</v>
      </c>
    </row>
    <row r="36" spans="2:15" ht="14" thickBot="1">
      <c r="B36" s="14" t="s">
        <v>757</v>
      </c>
      <c r="C36" s="14"/>
      <c r="D36" s="14"/>
      <c r="E36" s="14"/>
      <c r="F36" s="14"/>
      <c r="G36" s="14"/>
      <c r="H36" s="14"/>
      <c r="I36" s="14"/>
      <c r="J36" s="14"/>
      <c r="K36" s="14"/>
      <c r="L36" s="14"/>
      <c r="M36" s="14"/>
      <c r="N36" s="14"/>
      <c r="O36" s="14"/>
    </row>
    <row r="38" spans="2:15">
      <c r="E38" s="70" t="s">
        <v>752</v>
      </c>
      <c r="F38" s="70" t="s">
        <v>753</v>
      </c>
      <c r="G38" s="70" t="s">
        <v>23</v>
      </c>
    </row>
    <row r="39" spans="2:15">
      <c r="B39" s="71" t="s">
        <v>727</v>
      </c>
      <c r="C39" s="71" t="s">
        <v>730</v>
      </c>
      <c r="E39" s="106">
        <v>0.05</v>
      </c>
      <c r="F39" s="106">
        <v>0.1</v>
      </c>
      <c r="G39" s="125"/>
    </row>
    <row r="40" spans="2:15">
      <c r="B40" s="71" t="s">
        <v>728</v>
      </c>
      <c r="C40" s="71" t="s">
        <v>729</v>
      </c>
      <c r="E40" s="107">
        <v>5</v>
      </c>
      <c r="F40" s="108">
        <f>MAX(H44:P44)-E40</f>
        <v>3</v>
      </c>
      <c r="G40" s="108">
        <f>SUM(E40:F40)</f>
        <v>8</v>
      </c>
    </row>
    <row r="41" spans="2:15">
      <c r="B41" s="71" t="s">
        <v>808</v>
      </c>
      <c r="C41" s="71" t="s">
        <v>733</v>
      </c>
      <c r="E41" s="107">
        <v>123</v>
      </c>
      <c r="F41" s="125"/>
      <c r="G41" s="125"/>
    </row>
    <row r="44" spans="2:15" ht="14">
      <c r="B44" s="140" t="s">
        <v>747</v>
      </c>
      <c r="C44" s="141" t="s">
        <v>748</v>
      </c>
      <c r="F44" s="135"/>
      <c r="G44" s="43">
        <v>1</v>
      </c>
      <c r="H44" s="43">
        <f t="shared" ref="H44:N44" si="7">G44+1</f>
        <v>2</v>
      </c>
      <c r="I44" s="43">
        <f t="shared" si="7"/>
        <v>3</v>
      </c>
      <c r="J44" s="43">
        <f t="shared" si="7"/>
        <v>4</v>
      </c>
      <c r="K44" s="43">
        <f t="shared" si="7"/>
        <v>5</v>
      </c>
      <c r="L44" s="43">
        <f t="shared" si="7"/>
        <v>6</v>
      </c>
      <c r="M44" s="43">
        <f t="shared" si="7"/>
        <v>7</v>
      </c>
      <c r="N44" s="43">
        <f t="shared" si="7"/>
        <v>8</v>
      </c>
    </row>
    <row r="45" spans="2:15" ht="14">
      <c r="B45" s="140" t="s">
        <v>755</v>
      </c>
      <c r="C45" s="141" t="s">
        <v>748</v>
      </c>
      <c r="F45" s="135"/>
      <c r="G45" s="146">
        <f t="shared" ref="G45:N45" si="8">G44*(G44&lt;=$E$40)</f>
        <v>1</v>
      </c>
      <c r="H45" s="146">
        <f t="shared" si="8"/>
        <v>2</v>
      </c>
      <c r="I45" s="146">
        <f t="shared" si="8"/>
        <v>3</v>
      </c>
      <c r="J45" s="146">
        <f t="shared" si="8"/>
        <v>4</v>
      </c>
      <c r="K45" s="146">
        <f t="shared" si="8"/>
        <v>5</v>
      </c>
      <c r="L45" s="146">
        <f t="shared" si="8"/>
        <v>0</v>
      </c>
      <c r="M45" s="146">
        <f t="shared" si="8"/>
        <v>0</v>
      </c>
      <c r="N45" s="146">
        <f t="shared" si="8"/>
        <v>0</v>
      </c>
      <c r="O45" s="123" t="str">
        <f t="shared" ref="O45:O46" ca="1" si="9">_xlfn.FORMULATEXT(N45)</f>
        <v>=N44*(N44&lt;=$E$40)</v>
      </c>
    </row>
    <row r="46" spans="2:15" ht="14">
      <c r="B46" s="140" t="s">
        <v>756</v>
      </c>
      <c r="C46" s="141" t="s">
        <v>748</v>
      </c>
      <c r="F46" s="135"/>
      <c r="G46" s="146">
        <f t="shared" ref="G46:N46" si="10">MAX(G44-$E$40,0)</f>
        <v>0</v>
      </c>
      <c r="H46" s="146">
        <f t="shared" si="10"/>
        <v>0</v>
      </c>
      <c r="I46" s="146">
        <f t="shared" si="10"/>
        <v>0</v>
      </c>
      <c r="J46" s="146">
        <f t="shared" si="10"/>
        <v>0</v>
      </c>
      <c r="K46" s="146">
        <f t="shared" si="10"/>
        <v>0</v>
      </c>
      <c r="L46" s="146">
        <f t="shared" si="10"/>
        <v>1</v>
      </c>
      <c r="M46" s="146">
        <f t="shared" si="10"/>
        <v>2</v>
      </c>
      <c r="N46" s="146">
        <f t="shared" si="10"/>
        <v>3</v>
      </c>
      <c r="O46" s="123" t="str">
        <f t="shared" ca="1" si="9"/>
        <v>=MAX(N44-$E$40,0)</v>
      </c>
    </row>
    <row r="47" spans="2:15" ht="14">
      <c r="B47" s="142"/>
      <c r="C47" s="143"/>
      <c r="E47" s="70" t="s">
        <v>23</v>
      </c>
      <c r="F47" s="135"/>
      <c r="G47" s="136"/>
      <c r="H47" s="136"/>
      <c r="I47" s="136"/>
      <c r="J47" s="135"/>
      <c r="K47" s="136"/>
      <c r="L47" s="136"/>
      <c r="M47" s="136"/>
      <c r="N47" s="136"/>
    </row>
    <row r="48" spans="2:15" ht="14">
      <c r="B48" s="142" t="s">
        <v>752</v>
      </c>
      <c r="C48" s="143"/>
      <c r="F48" s="135"/>
      <c r="G48" s="136"/>
      <c r="H48" s="136"/>
      <c r="I48" s="136"/>
      <c r="J48" s="135"/>
      <c r="K48" s="136"/>
      <c r="L48" s="136"/>
      <c r="M48" s="136"/>
      <c r="N48" s="136"/>
    </row>
    <row r="49" spans="2:15" ht="14">
      <c r="B49" s="140" t="s">
        <v>749</v>
      </c>
      <c r="C49" s="141" t="s">
        <v>733</v>
      </c>
      <c r="E49" s="126">
        <f>SUM(G49:N49)</f>
        <v>479.58915781351277</v>
      </c>
      <c r="F49" s="137"/>
      <c r="G49" s="126">
        <f t="shared" ref="G49:N49" si="11">F54</f>
        <v>123</v>
      </c>
      <c r="H49" s="126">
        <f t="shared" si="11"/>
        <v>110.11921692379522</v>
      </c>
      <c r="I49" s="126">
        <f t="shared" si="11"/>
        <v>96.594394693780202</v>
      </c>
      <c r="J49" s="126">
        <f t="shared" si="11"/>
        <v>82.393331352264426</v>
      </c>
      <c r="K49" s="126">
        <f t="shared" si="11"/>
        <v>67.482214843672864</v>
      </c>
      <c r="L49" s="126">
        <f t="shared" si="11"/>
        <v>0</v>
      </c>
      <c r="M49" s="126">
        <f t="shared" si="11"/>
        <v>0</v>
      </c>
      <c r="N49" s="126">
        <f t="shared" si="11"/>
        <v>0</v>
      </c>
      <c r="O49" s="123" t="str">
        <f t="shared" ref="O49:O54" ca="1" si="12">_xlfn.FORMULATEXT(N49)</f>
        <v>=M54</v>
      </c>
    </row>
    <row r="50" spans="2:15">
      <c r="B50" s="140" t="s">
        <v>750</v>
      </c>
      <c r="C50" s="141" t="s">
        <v>733</v>
      </c>
      <c r="E50" s="126">
        <f t="shared" ref="E50:E53" si="13">SUM(G50:N50)</f>
        <v>23.979457890675636</v>
      </c>
      <c r="F50" s="127"/>
      <c r="G50" s="126">
        <f>F54*$E$39</f>
        <v>6.15</v>
      </c>
      <c r="H50" s="126">
        <f t="shared" ref="H50:N50" si="14">H49*$E$39</f>
        <v>5.5059608461897618</v>
      </c>
      <c r="I50" s="126">
        <f t="shared" si="14"/>
        <v>4.8297197346890108</v>
      </c>
      <c r="J50" s="126">
        <f t="shared" si="14"/>
        <v>4.1196665676132218</v>
      </c>
      <c r="K50" s="126">
        <f t="shared" si="14"/>
        <v>3.3741107421836434</v>
      </c>
      <c r="L50" s="126">
        <f t="shared" si="14"/>
        <v>0</v>
      </c>
      <c r="M50" s="126">
        <f t="shared" si="14"/>
        <v>0</v>
      </c>
      <c r="N50" s="126">
        <f t="shared" si="14"/>
        <v>0</v>
      </c>
      <c r="O50" s="123" t="str">
        <f t="shared" ca="1" si="12"/>
        <v>=N49*$E$39</v>
      </c>
    </row>
    <row r="51" spans="2:15">
      <c r="B51" s="140" t="s">
        <v>762</v>
      </c>
      <c r="C51" s="141" t="s">
        <v>733</v>
      </c>
      <c r="E51" s="126">
        <f t="shared" si="13"/>
        <v>-23.979457890675636</v>
      </c>
      <c r="F51" s="127"/>
      <c r="G51" s="126">
        <f t="shared" ref="G51:N51" si="15">IF(G$45=0,0,IPMT($E$39,G$45,$G$40,$E$41))</f>
        <v>-6.15</v>
      </c>
      <c r="H51" s="126">
        <f t="shared" si="15"/>
        <v>-5.5059608461897609</v>
      </c>
      <c r="I51" s="126">
        <f t="shared" si="15"/>
        <v>-4.8297197346890099</v>
      </c>
      <c r="J51" s="126">
        <f t="shared" si="15"/>
        <v>-4.1196665676132218</v>
      </c>
      <c r="K51" s="126">
        <f t="shared" si="15"/>
        <v>-3.3741107421836425</v>
      </c>
      <c r="L51" s="126">
        <f t="shared" si="15"/>
        <v>0</v>
      </c>
      <c r="M51" s="126">
        <f t="shared" si="15"/>
        <v>0</v>
      </c>
      <c r="N51" s="126">
        <f t="shared" si="15"/>
        <v>0</v>
      </c>
      <c r="O51" s="123" t="str">
        <f t="shared" ca="1" si="12"/>
        <v>=IF(N$45=0,0,IPMT($E$39,N$45,$G$40,$E$41))</v>
      </c>
    </row>
    <row r="52" spans="2:15">
      <c r="B52" s="140" t="s">
        <v>763</v>
      </c>
      <c r="C52" s="141" t="s">
        <v>733</v>
      </c>
      <c r="E52" s="126">
        <f t="shared" si="13"/>
        <v>-71.17445749034826</v>
      </c>
      <c r="F52" s="127"/>
      <c r="G52" s="126">
        <f t="shared" ref="G52:N52" si="16">IF(G$45=0,0,PPMT($E$39,G$45,$G$40,$E$41))</f>
        <v>-12.880783076204779</v>
      </c>
      <c r="H52" s="126">
        <f t="shared" si="16"/>
        <v>-13.524822230015017</v>
      </c>
      <c r="I52" s="126">
        <f t="shared" si="16"/>
        <v>-14.20106334151577</v>
      </c>
      <c r="J52" s="126">
        <f t="shared" si="16"/>
        <v>-14.911116508591556</v>
      </c>
      <c r="K52" s="126">
        <f t="shared" si="16"/>
        <v>-15.656672334021136</v>
      </c>
      <c r="L52" s="126">
        <f t="shared" si="16"/>
        <v>0</v>
      </c>
      <c r="M52" s="126">
        <f t="shared" si="16"/>
        <v>0</v>
      </c>
      <c r="N52" s="126">
        <f t="shared" si="16"/>
        <v>0</v>
      </c>
      <c r="O52" s="123" t="str">
        <f t="shared" ca="1" si="12"/>
        <v>=IF(N$45=0,0,PPMT($E$39,N$45,$G$40,$E$41))</v>
      </c>
    </row>
    <row r="53" spans="2:15" ht="14" thickBot="1">
      <c r="B53" s="144" t="s">
        <v>754</v>
      </c>
      <c r="C53" s="145" t="s">
        <v>733</v>
      </c>
      <c r="D53" s="129"/>
      <c r="E53" s="130">
        <f t="shared" si="13"/>
        <v>-51.825542509651726</v>
      </c>
      <c r="F53" s="131"/>
      <c r="G53" s="130">
        <f t="shared" ref="G53:N53" si="17">-SUM(G49:G52)*(G$45=$E$40)</f>
        <v>0</v>
      </c>
      <c r="H53" s="130">
        <f t="shared" si="17"/>
        <v>0</v>
      </c>
      <c r="I53" s="130">
        <f t="shared" si="17"/>
        <v>0</v>
      </c>
      <c r="J53" s="130">
        <f t="shared" si="17"/>
        <v>0</v>
      </c>
      <c r="K53" s="130">
        <f t="shared" si="17"/>
        <v>-51.825542509651726</v>
      </c>
      <c r="L53" s="130">
        <f t="shared" si="17"/>
        <v>0</v>
      </c>
      <c r="M53" s="130">
        <f t="shared" si="17"/>
        <v>0</v>
      </c>
      <c r="N53" s="130">
        <f t="shared" si="17"/>
        <v>0</v>
      </c>
      <c r="O53" s="123" t="str">
        <f t="shared" ca="1" si="12"/>
        <v>=-SUM(N49:N52)*(N$45=$E$40)</v>
      </c>
    </row>
    <row r="54" spans="2:15" ht="14">
      <c r="B54" s="140" t="s">
        <v>751</v>
      </c>
      <c r="C54" s="141" t="s">
        <v>733</v>
      </c>
      <c r="E54" s="137"/>
      <c r="F54" s="132">
        <f>E41</f>
        <v>123</v>
      </c>
      <c r="G54" s="128">
        <f>SUM(G49:G53)</f>
        <v>110.11921692379522</v>
      </c>
      <c r="H54" s="128">
        <f t="shared" ref="H54:N54" si="18">SUM(H49:H53)</f>
        <v>96.594394693780202</v>
      </c>
      <c r="I54" s="128">
        <f t="shared" si="18"/>
        <v>82.393331352264426</v>
      </c>
      <c r="J54" s="128">
        <f t="shared" si="18"/>
        <v>67.482214843672864</v>
      </c>
      <c r="K54" s="128">
        <f t="shared" si="18"/>
        <v>0</v>
      </c>
      <c r="L54" s="128">
        <f t="shared" si="18"/>
        <v>0</v>
      </c>
      <c r="M54" s="128">
        <f t="shared" si="18"/>
        <v>0</v>
      </c>
      <c r="N54" s="128">
        <f t="shared" si="18"/>
        <v>0</v>
      </c>
      <c r="O54" s="123" t="str">
        <f t="shared" ca="1" si="12"/>
        <v>=SUM(N49:N53)</v>
      </c>
    </row>
    <row r="55" spans="2:15" ht="14">
      <c r="B55" s="140"/>
      <c r="C55" s="141"/>
      <c r="E55" s="135"/>
      <c r="G55" s="136"/>
      <c r="H55" s="136"/>
      <c r="I55" s="136"/>
      <c r="J55" s="136"/>
      <c r="K55" s="136"/>
      <c r="L55" s="136"/>
      <c r="M55" s="136"/>
      <c r="N55" s="136"/>
    </row>
    <row r="56" spans="2:15" ht="14">
      <c r="B56" s="142" t="s">
        <v>753</v>
      </c>
      <c r="C56" s="141"/>
      <c r="E56" s="135"/>
      <c r="G56" s="136"/>
      <c r="H56" s="136"/>
      <c r="I56" s="136"/>
      <c r="J56" s="136"/>
      <c r="K56" s="136"/>
      <c r="L56" s="136"/>
      <c r="M56" s="136"/>
      <c r="N56" s="136"/>
    </row>
    <row r="57" spans="2:15" ht="14">
      <c r="B57" s="140" t="s">
        <v>749</v>
      </c>
      <c r="C57" s="141" t="s">
        <v>733</v>
      </c>
      <c r="E57" s="126">
        <f>SUM(G57:N57)</f>
        <v>106.93911037490068</v>
      </c>
      <c r="F57" s="137"/>
      <c r="G57" s="126">
        <f>F61</f>
        <v>0</v>
      </c>
      <c r="H57" s="126">
        <f t="shared" ref="H57:N57" si="19">G61</f>
        <v>0</v>
      </c>
      <c r="I57" s="126">
        <f t="shared" si="19"/>
        <v>0</v>
      </c>
      <c r="J57" s="126">
        <f t="shared" si="19"/>
        <v>0</v>
      </c>
      <c r="K57" s="126">
        <f t="shared" si="19"/>
        <v>0</v>
      </c>
      <c r="L57" s="126">
        <f t="shared" si="19"/>
        <v>51.825542509651726</v>
      </c>
      <c r="M57" s="126">
        <f t="shared" si="19"/>
        <v>36.168278911569629</v>
      </c>
      <c r="N57" s="126">
        <f t="shared" si="19"/>
        <v>18.945288953679324</v>
      </c>
      <c r="O57" s="123" t="str">
        <f t="shared" ref="O57:O61" ca="1" si="20">_xlfn.FORMULATEXT(N57)</f>
        <v>=M61</v>
      </c>
    </row>
    <row r="58" spans="2:15">
      <c r="B58" s="140" t="s">
        <v>750</v>
      </c>
      <c r="C58" s="141" t="s">
        <v>733</v>
      </c>
      <c r="E58" s="126">
        <f>SUM(G58:N58)</f>
        <v>10.693911037490068</v>
      </c>
      <c r="F58" s="127"/>
      <c r="G58" s="126">
        <f t="shared" ref="G58:J58" si="21">G57*$F$39</f>
        <v>0</v>
      </c>
      <c r="H58" s="126">
        <f t="shared" si="21"/>
        <v>0</v>
      </c>
      <c r="I58" s="126">
        <f t="shared" si="21"/>
        <v>0</v>
      </c>
      <c r="J58" s="126">
        <f t="shared" si="21"/>
        <v>0</v>
      </c>
      <c r="K58" s="126">
        <f>K57*$F$39</f>
        <v>0</v>
      </c>
      <c r="L58" s="126">
        <f t="shared" ref="L58:N58" si="22">L57*$F$39</f>
        <v>5.1825542509651727</v>
      </c>
      <c r="M58" s="126">
        <f t="shared" si="22"/>
        <v>3.6168278911569631</v>
      </c>
      <c r="N58" s="126">
        <f t="shared" si="22"/>
        <v>1.8945288953679325</v>
      </c>
      <c r="O58" s="123" t="str">
        <f t="shared" ca="1" si="20"/>
        <v>=N57*$F$39</v>
      </c>
    </row>
    <row r="59" spans="2:15">
      <c r="B59" s="140" t="s">
        <v>762</v>
      </c>
      <c r="C59" s="141" t="s">
        <v>733</v>
      </c>
      <c r="E59" s="126">
        <f>-SUM(G59:N59)</f>
        <v>10.693911037490071</v>
      </c>
      <c r="F59" s="127"/>
      <c r="G59" s="126">
        <f>IF(G$46=0,0,IPMT($F$39,G$46,$F$40,-$E$53))</f>
        <v>0</v>
      </c>
      <c r="H59" s="126">
        <f t="shared" ref="H59:N59" si="23">IF(H$46=0,0,IPMT($F$39,H$46,$F$40,-$E$53))</f>
        <v>0</v>
      </c>
      <c r="I59" s="126">
        <f t="shared" si="23"/>
        <v>0</v>
      </c>
      <c r="J59" s="126">
        <f t="shared" si="23"/>
        <v>0</v>
      </c>
      <c r="K59" s="126">
        <f t="shared" si="23"/>
        <v>0</v>
      </c>
      <c r="L59" s="126">
        <f t="shared" si="23"/>
        <v>-5.1825542509651727</v>
      </c>
      <c r="M59" s="126">
        <f t="shared" si="23"/>
        <v>-3.616827891156964</v>
      </c>
      <c r="N59" s="126">
        <f t="shared" si="23"/>
        <v>-1.8945288953679336</v>
      </c>
      <c r="O59" s="123" t="str">
        <f t="shared" ca="1" si="20"/>
        <v>=IF(N$46=0,0,IPMT($F$39,N$46,$F$40,-$E$53))</v>
      </c>
    </row>
    <row r="60" spans="2:15" ht="14" thickBot="1">
      <c r="B60" s="144" t="s">
        <v>763</v>
      </c>
      <c r="C60" s="145" t="s">
        <v>733</v>
      </c>
      <c r="D60" s="129"/>
      <c r="E60" s="130">
        <f>-SUM(G60:N60)</f>
        <v>51.82554250965174</v>
      </c>
      <c r="F60" s="131"/>
      <c r="G60" s="130">
        <f>IF(G$46=0,0,PPMT($F$39,G$46,$F$40,-$E$53))</f>
        <v>0</v>
      </c>
      <c r="H60" s="130">
        <f t="shared" ref="H60:N60" si="24">IF(H$46=0,0,PPMT($F$39,H$46,$F$40,-$E$53))</f>
        <v>0</v>
      </c>
      <c r="I60" s="130">
        <f t="shared" si="24"/>
        <v>0</v>
      </c>
      <c r="J60" s="130">
        <f t="shared" si="24"/>
        <v>0</v>
      </c>
      <c r="K60" s="130">
        <f t="shared" si="24"/>
        <v>0</v>
      </c>
      <c r="L60" s="130">
        <f t="shared" si="24"/>
        <v>-15.657263598082096</v>
      </c>
      <c r="M60" s="130">
        <f t="shared" si="24"/>
        <v>-17.222989957890306</v>
      </c>
      <c r="N60" s="130">
        <f t="shared" si="24"/>
        <v>-18.945288953679334</v>
      </c>
      <c r="O60" s="123" t="str">
        <f t="shared" ca="1" si="20"/>
        <v>=IF(N$46=0,0,PPMT($F$39,N$46,$F$40,-$E$53))</v>
      </c>
    </row>
    <row r="61" spans="2:15" ht="14">
      <c r="B61" s="140" t="s">
        <v>751</v>
      </c>
      <c r="C61" s="141" t="s">
        <v>733</v>
      </c>
      <c r="E61" s="137"/>
      <c r="F61" s="127"/>
      <c r="G61" s="128">
        <f>SUM(G57:G60)-G53</f>
        <v>0</v>
      </c>
      <c r="H61" s="128">
        <f t="shared" ref="H61:N61" si="25">SUM(H57:H60)-H53</f>
        <v>0</v>
      </c>
      <c r="I61" s="128">
        <f t="shared" si="25"/>
        <v>0</v>
      </c>
      <c r="J61" s="128">
        <f t="shared" si="25"/>
        <v>0</v>
      </c>
      <c r="K61" s="128">
        <f t="shared" si="25"/>
        <v>51.825542509651726</v>
      </c>
      <c r="L61" s="128">
        <f t="shared" si="25"/>
        <v>36.168278911569629</v>
      </c>
      <c r="M61" s="128">
        <f t="shared" si="25"/>
        <v>18.945288953679324</v>
      </c>
      <c r="N61" s="128">
        <f t="shared" si="25"/>
        <v>0</v>
      </c>
      <c r="O61" s="123" t="str">
        <f t="shared" ca="1" si="20"/>
        <v>=SUM(N57:N60)-N53</v>
      </c>
    </row>
    <row r="62" spans="2:15" ht="14">
      <c r="B62" s="134"/>
      <c r="C62" s="135"/>
      <c r="E62" s="135"/>
      <c r="F62" s="127"/>
      <c r="G62" s="136"/>
      <c r="H62" s="136"/>
      <c r="I62" s="136"/>
      <c r="J62" s="136"/>
      <c r="K62" s="136"/>
      <c r="L62" s="136"/>
      <c r="M62" s="136"/>
      <c r="N62" s="136"/>
    </row>
    <row r="63" spans="2:15" ht="14">
      <c r="B63" s="142" t="s">
        <v>23</v>
      </c>
      <c r="C63" s="141"/>
      <c r="E63" s="135"/>
      <c r="G63" s="136"/>
      <c r="H63" s="136"/>
      <c r="I63" s="136"/>
      <c r="J63" s="136"/>
      <c r="K63" s="136"/>
      <c r="L63" s="136"/>
      <c r="M63" s="136"/>
      <c r="N63" s="136"/>
    </row>
    <row r="64" spans="2:15" ht="14">
      <c r="B64" s="140" t="s">
        <v>749</v>
      </c>
      <c r="C64" s="141" t="s">
        <v>733</v>
      </c>
      <c r="E64" s="126">
        <f>SUM(G64:N64)</f>
        <v>586.52826818841345</v>
      </c>
      <c r="F64" s="137"/>
      <c r="G64" s="126">
        <f>SUM(G49,G57)</f>
        <v>123</v>
      </c>
      <c r="H64" s="126">
        <f t="shared" ref="H64:N64" si="26">SUM(H49,H57)</f>
        <v>110.11921692379522</v>
      </c>
      <c r="I64" s="126">
        <f t="shared" si="26"/>
        <v>96.594394693780202</v>
      </c>
      <c r="J64" s="126">
        <f t="shared" si="26"/>
        <v>82.393331352264426</v>
      </c>
      <c r="K64" s="126">
        <f t="shared" si="26"/>
        <v>67.482214843672864</v>
      </c>
      <c r="L64" s="126">
        <f t="shared" si="26"/>
        <v>51.825542509651726</v>
      </c>
      <c r="M64" s="126">
        <f t="shared" si="26"/>
        <v>36.168278911569629</v>
      </c>
      <c r="N64" s="126">
        <f t="shared" si="26"/>
        <v>18.945288953679324</v>
      </c>
      <c r="O64" s="123" t="str">
        <f t="shared" ref="O64:O68" ca="1" si="27">_xlfn.FORMULATEXT(N64)</f>
        <v>=SUM(N49,N57)</v>
      </c>
    </row>
    <row r="65" spans="2:15">
      <c r="B65" s="140" t="s">
        <v>750</v>
      </c>
      <c r="C65" s="141" t="s">
        <v>733</v>
      </c>
      <c r="E65" s="126">
        <f>SUM(G65:N65)</f>
        <v>34.673368928165708</v>
      </c>
      <c r="F65" s="127"/>
      <c r="G65" s="126">
        <f t="shared" ref="G65:N65" si="28">SUM(G50,G58)</f>
        <v>6.15</v>
      </c>
      <c r="H65" s="126">
        <f t="shared" si="28"/>
        <v>5.5059608461897618</v>
      </c>
      <c r="I65" s="126">
        <f t="shared" si="28"/>
        <v>4.8297197346890108</v>
      </c>
      <c r="J65" s="126">
        <f t="shared" si="28"/>
        <v>4.1196665676132218</v>
      </c>
      <c r="K65" s="126">
        <f t="shared" si="28"/>
        <v>3.3741107421836434</v>
      </c>
      <c r="L65" s="126">
        <f t="shared" si="28"/>
        <v>5.1825542509651727</v>
      </c>
      <c r="M65" s="126">
        <f t="shared" si="28"/>
        <v>3.6168278911569631</v>
      </c>
      <c r="N65" s="126">
        <f t="shared" si="28"/>
        <v>1.8945288953679325</v>
      </c>
      <c r="O65" s="123" t="str">
        <f t="shared" ca="1" si="27"/>
        <v>=SUM(N50,N58)</v>
      </c>
    </row>
    <row r="66" spans="2:15">
      <c r="B66" s="140" t="s">
        <v>762</v>
      </c>
      <c r="C66" s="141" t="s">
        <v>733</v>
      </c>
      <c r="E66" s="126">
        <f>-SUM(G66:N66)</f>
        <v>34.673368928165708</v>
      </c>
      <c r="F66" s="127"/>
      <c r="G66" s="126">
        <f t="shared" ref="G66:N66" si="29">SUM(G51,G59)</f>
        <v>-6.15</v>
      </c>
      <c r="H66" s="126">
        <f t="shared" si="29"/>
        <v>-5.5059608461897609</v>
      </c>
      <c r="I66" s="126">
        <f t="shared" si="29"/>
        <v>-4.8297197346890099</v>
      </c>
      <c r="J66" s="126">
        <f t="shared" si="29"/>
        <v>-4.1196665676132218</v>
      </c>
      <c r="K66" s="126">
        <f t="shared" si="29"/>
        <v>-3.3741107421836425</v>
      </c>
      <c r="L66" s="126">
        <f t="shared" si="29"/>
        <v>-5.1825542509651727</v>
      </c>
      <c r="M66" s="126">
        <f t="shared" si="29"/>
        <v>-3.616827891156964</v>
      </c>
      <c r="N66" s="126">
        <f t="shared" si="29"/>
        <v>-1.8945288953679336</v>
      </c>
      <c r="O66" s="123" t="str">
        <f t="shared" ca="1" si="27"/>
        <v>=SUM(N51,N59)</v>
      </c>
    </row>
    <row r="67" spans="2:15" ht="14" thickBot="1">
      <c r="B67" s="144" t="s">
        <v>763</v>
      </c>
      <c r="C67" s="145" t="s">
        <v>733</v>
      </c>
      <c r="D67" s="129"/>
      <c r="E67" s="130">
        <f>-SUM(G67:N67)</f>
        <v>123</v>
      </c>
      <c r="F67" s="131"/>
      <c r="G67" s="130">
        <f t="shared" ref="G67:N67" si="30">SUM(G52,G60)</f>
        <v>-12.880783076204779</v>
      </c>
      <c r="H67" s="130">
        <f t="shared" si="30"/>
        <v>-13.524822230015017</v>
      </c>
      <c r="I67" s="130">
        <f t="shared" si="30"/>
        <v>-14.20106334151577</v>
      </c>
      <c r="J67" s="130">
        <f t="shared" si="30"/>
        <v>-14.911116508591556</v>
      </c>
      <c r="K67" s="130">
        <f t="shared" si="30"/>
        <v>-15.656672334021136</v>
      </c>
      <c r="L67" s="130">
        <f t="shared" si="30"/>
        <v>-15.657263598082096</v>
      </c>
      <c r="M67" s="130">
        <f t="shared" si="30"/>
        <v>-17.222989957890306</v>
      </c>
      <c r="N67" s="130">
        <f t="shared" si="30"/>
        <v>-18.945288953679334</v>
      </c>
      <c r="O67" s="123" t="str">
        <f t="shared" ca="1" si="27"/>
        <v>=SUM(N52,N60)</v>
      </c>
    </row>
    <row r="68" spans="2:15" ht="14">
      <c r="B68" s="140" t="s">
        <v>751</v>
      </c>
      <c r="C68" s="141" t="s">
        <v>733</v>
      </c>
      <c r="E68" s="137"/>
      <c r="F68" s="127"/>
      <c r="G68" s="128">
        <f t="shared" ref="G68:M68" si="31">SUM(G64:G67)</f>
        <v>110.11921692379522</v>
      </c>
      <c r="H68" s="128">
        <f t="shared" si="31"/>
        <v>96.594394693780202</v>
      </c>
      <c r="I68" s="128">
        <f t="shared" si="31"/>
        <v>82.393331352264426</v>
      </c>
      <c r="J68" s="128">
        <f t="shared" si="31"/>
        <v>67.482214843672864</v>
      </c>
      <c r="K68" s="128">
        <f t="shared" si="31"/>
        <v>51.825542509651726</v>
      </c>
      <c r="L68" s="128">
        <f t="shared" si="31"/>
        <v>36.168278911569629</v>
      </c>
      <c r="M68" s="128">
        <f t="shared" si="31"/>
        <v>18.945288953679324</v>
      </c>
      <c r="N68" s="128">
        <f>SUM(N64:N67)</f>
        <v>0</v>
      </c>
      <c r="O68" s="123" t="str">
        <f t="shared" ca="1" si="27"/>
        <v>=SUM(N64:N67)</v>
      </c>
    </row>
    <row r="69" spans="2:15" ht="14">
      <c r="B69" s="138"/>
      <c r="C69" s="135"/>
      <c r="E69" s="135"/>
      <c r="G69" s="139"/>
      <c r="H69" s="139"/>
      <c r="I69" s="139"/>
      <c r="J69" s="139"/>
      <c r="K69" s="139"/>
      <c r="L69" s="139"/>
      <c r="M69" s="139"/>
      <c r="N69" s="139"/>
    </row>
    <row r="70" spans="2:15">
      <c r="B70" s="142" t="s">
        <v>758</v>
      </c>
      <c r="C70" s="141"/>
      <c r="E70" s="141"/>
      <c r="G70" s="147"/>
      <c r="H70" s="147"/>
      <c r="I70" s="147"/>
      <c r="J70" s="147"/>
      <c r="K70" s="147"/>
      <c r="L70" s="147"/>
      <c r="M70" s="147"/>
      <c r="N70" s="147"/>
    </row>
    <row r="71" spans="2:15">
      <c r="B71" s="140" t="s">
        <v>759</v>
      </c>
      <c r="G71" s="133">
        <f>--(ROUND(SUM(G65:G66),3)&lt;&gt;0)</f>
        <v>0</v>
      </c>
      <c r="H71" s="133">
        <f t="shared" ref="H71:N71" si="32">--(ROUND(SUM(H65:H66),3)&lt;&gt;0)</f>
        <v>0</v>
      </c>
      <c r="I71" s="133">
        <f t="shared" si="32"/>
        <v>0</v>
      </c>
      <c r="J71" s="133">
        <f t="shared" si="32"/>
        <v>0</v>
      </c>
      <c r="K71" s="133">
        <f t="shared" si="32"/>
        <v>0</v>
      </c>
      <c r="L71" s="133">
        <f t="shared" si="32"/>
        <v>0</v>
      </c>
      <c r="M71" s="133">
        <f t="shared" si="32"/>
        <v>0</v>
      </c>
      <c r="N71" s="133">
        <f t="shared" si="32"/>
        <v>0</v>
      </c>
    </row>
    <row r="72" spans="2:15">
      <c r="B72" s="140" t="s">
        <v>760</v>
      </c>
      <c r="G72" s="133">
        <f>--IF(G45=0,0,--ROUND(PMT($E$39,$G$40,$E$41)-SUM(G51:G52),3)&lt;&gt;0)</f>
        <v>0</v>
      </c>
      <c r="H72" s="133">
        <f t="shared" ref="H72:N72" si="33">--IF(H45=0,0,--ROUND(PMT($E$39,$G$40,$E$41)-SUM(H51:H52),3)&lt;&gt;0)</f>
        <v>0</v>
      </c>
      <c r="I72" s="133">
        <f t="shared" si="33"/>
        <v>0</v>
      </c>
      <c r="J72" s="133">
        <f t="shared" si="33"/>
        <v>0</v>
      </c>
      <c r="K72" s="133">
        <f t="shared" si="33"/>
        <v>0</v>
      </c>
      <c r="L72" s="133">
        <f t="shared" si="33"/>
        <v>0</v>
      </c>
      <c r="M72" s="133">
        <f t="shared" si="33"/>
        <v>0</v>
      </c>
      <c r="N72" s="133">
        <f t="shared" si="33"/>
        <v>0</v>
      </c>
    </row>
    <row r="73" spans="2:15">
      <c r="B73" s="140" t="s">
        <v>761</v>
      </c>
      <c r="G73" s="133">
        <f>--IF(G46=0,0,--ROUND(PMT($F$39,$F$40,-$E$53)-SUM(G66:G67),3)&lt;&gt;0)</f>
        <v>0</v>
      </c>
      <c r="H73" s="133">
        <f t="shared" ref="H73:N73" si="34">--IF(H46=0,0,--ROUND(PMT($F$39,$F$40,-$E$53)-SUM(H66:H67),3)&lt;&gt;0)</f>
        <v>0</v>
      </c>
      <c r="I73" s="133">
        <f t="shared" si="34"/>
        <v>0</v>
      </c>
      <c r="J73" s="133">
        <f t="shared" si="34"/>
        <v>0</v>
      </c>
      <c r="K73" s="133">
        <f t="shared" si="34"/>
        <v>0</v>
      </c>
      <c r="L73" s="133">
        <f t="shared" si="34"/>
        <v>0</v>
      </c>
      <c r="M73" s="133">
        <f t="shared" si="34"/>
        <v>0</v>
      </c>
      <c r="N73" s="133">
        <f t="shared" si="34"/>
        <v>0</v>
      </c>
    </row>
  </sheetData>
  <printOptions headings="1" gridLines="1"/>
  <pageMargins left="0.74803149606299213" right="0.74803149606299213" top="0.98425196850393704" bottom="0.98425196850393704" header="0.51181102362204722" footer="0.51181102362204722"/>
  <pageSetup paperSize="9" scale="44" fitToHeight="5" orientation="portrait" r:id="rId1"/>
  <headerFooter alignWithMargins="0">
    <oddHeader>&amp;LExcel Function Dictionary
© 1998 - 2000 Peter Noneley&amp;R&amp;A
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B1:J48"/>
  <sheetViews>
    <sheetView showGridLines="0" topLeftCell="B1" zoomScale="85" zoomScaleNormal="85" workbookViewId="0"/>
  </sheetViews>
  <sheetFormatPr baseColWidth="10" defaultColWidth="9.1640625" defaultRowHeight="12"/>
  <cols>
    <col min="1" max="1" width="2" style="214" customWidth="1"/>
    <col min="2" max="16384" width="9.1640625" style="214"/>
  </cols>
  <sheetData>
    <row r="1" spans="2:2" ht="14">
      <c r="B1" s="213" t="s">
        <v>304</v>
      </c>
    </row>
    <row r="2" spans="2:2">
      <c r="B2" s="214" t="s">
        <v>335</v>
      </c>
    </row>
    <row r="3" spans="2:2">
      <c r="B3" s="214" t="s">
        <v>336</v>
      </c>
    </row>
    <row r="5" spans="2:2">
      <c r="B5" s="214" t="s">
        <v>1065</v>
      </c>
    </row>
    <row r="7" spans="2:2">
      <c r="B7" s="217" t="s">
        <v>337</v>
      </c>
    </row>
    <row r="12" spans="2:2">
      <c r="B12" s="214" t="s">
        <v>338</v>
      </c>
    </row>
    <row r="14" spans="2:2">
      <c r="B14" s="217" t="s">
        <v>339</v>
      </c>
    </row>
    <row r="15" spans="2:2">
      <c r="B15" s="220" t="s">
        <v>340</v>
      </c>
    </row>
    <row r="17" spans="2:10">
      <c r="B17" s="217" t="s">
        <v>341</v>
      </c>
    </row>
    <row r="18" spans="2:10">
      <c r="B18" s="220" t="s">
        <v>342</v>
      </c>
    </row>
    <row r="20" spans="2:10">
      <c r="B20" s="217" t="s">
        <v>343</v>
      </c>
    </row>
    <row r="21" spans="2:10">
      <c r="B21" s="220" t="s">
        <v>344</v>
      </c>
    </row>
    <row r="27" spans="2:10">
      <c r="B27" s="217" t="s">
        <v>345</v>
      </c>
    </row>
    <row r="28" spans="2:10">
      <c r="B28" s="214" t="s">
        <v>346</v>
      </c>
    </row>
    <row r="29" spans="2:10">
      <c r="B29" s="220" t="s">
        <v>347</v>
      </c>
      <c r="I29" s="214" t="s">
        <v>401</v>
      </c>
      <c r="J29" s="220" t="s">
        <v>411</v>
      </c>
    </row>
    <row r="35" spans="2:2">
      <c r="B35" s="217" t="s">
        <v>413</v>
      </c>
    </row>
    <row r="36" spans="2:2">
      <c r="B36" s="214" t="s">
        <v>412</v>
      </c>
    </row>
    <row r="38" spans="2:2">
      <c r="B38" s="214" t="s">
        <v>414</v>
      </c>
    </row>
    <row r="39" spans="2:2">
      <c r="B39" s="220" t="s">
        <v>415</v>
      </c>
    </row>
    <row r="40" spans="2:2">
      <c r="B40" s="220" t="s">
        <v>419</v>
      </c>
    </row>
    <row r="46" spans="2:2">
      <c r="B46" s="214" t="s">
        <v>416</v>
      </c>
    </row>
    <row r="47" spans="2:2">
      <c r="B47" s="220" t="s">
        <v>417</v>
      </c>
    </row>
    <row r="48" spans="2:2">
      <c r="B48" s="220" t="s">
        <v>418</v>
      </c>
    </row>
  </sheetData>
  <pageMargins left="0.6" right="0.6" top="1" bottom="1" header="0.5" footer="0.5"/>
  <pageSetup paperSize="9" scale="76" orientation="landscape" r:id="rId1"/>
  <headerFooter>
    <oddHeader>&amp;RDraft - Work in Progress</oddHeader>
    <oddFooter>&amp;L&amp;F
&amp;D, &amp;T&amp;CPage &amp;P of &amp;N&amp;R&amp;A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election activeCell="U45" sqref="U45"/>
    </sheetView>
  </sheetViews>
  <sheetFormatPr baseColWidth="10" defaultColWidth="8.83203125" defaultRowHeight="1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AZ95"/>
  <sheetViews>
    <sheetView showGridLines="0" tabSelected="1" topLeftCell="A28" zoomScale="80" zoomScaleNormal="80" zoomScalePageLayoutView="85" workbookViewId="0">
      <selection activeCell="B39" sqref="B39"/>
    </sheetView>
  </sheetViews>
  <sheetFormatPr baseColWidth="10" defaultColWidth="8.83203125" defaultRowHeight="13"/>
  <cols>
    <col min="1" max="1" width="3.83203125" style="150" customWidth="1"/>
    <col min="2" max="2" width="30.1640625" style="150" customWidth="1"/>
    <col min="3" max="3" width="16.1640625" style="150" customWidth="1"/>
    <col min="4" max="4" width="14.83203125" style="150" customWidth="1"/>
    <col min="5" max="5" width="11" style="150" bestFit="1" customWidth="1"/>
    <col min="6" max="6" width="12.1640625" style="150" customWidth="1"/>
    <col min="7" max="7" width="12.5" style="150" customWidth="1"/>
    <col min="8" max="8" width="13.1640625" style="150" customWidth="1"/>
    <col min="9" max="9" width="11.6640625" style="150" customWidth="1"/>
    <col min="10" max="16384" width="8.83203125" style="150"/>
  </cols>
  <sheetData>
    <row r="1" spans="1:52" s="148" customFormat="1" ht="12.75" customHeight="1">
      <c r="A1" s="158"/>
      <c r="B1" s="213" t="s">
        <v>1151</v>
      </c>
      <c r="C1" s="158"/>
      <c r="D1" s="158"/>
      <c r="AZ1" s="149"/>
    </row>
    <row r="3" spans="1:52">
      <c r="B3" s="150" t="s">
        <v>1084</v>
      </c>
    </row>
    <row r="5" spans="1:52">
      <c r="B5" s="150" t="s">
        <v>1085</v>
      </c>
    </row>
    <row r="7" spans="1:52">
      <c r="B7" s="159" t="s">
        <v>1086</v>
      </c>
    </row>
    <row r="9" spans="1:52">
      <c r="B9" s="150" t="s">
        <v>1087</v>
      </c>
    </row>
    <row r="11" spans="1:52">
      <c r="B11" s="150" t="s">
        <v>785</v>
      </c>
      <c r="C11" s="94">
        <f>SUMPRODUCT(SUMPRODUCT!$D$4:$D$10,SUMPRODUCT!$E$4:$E$10,--(SUMPRODUCT!$C$4:$C$10=SUMPRODUCT!G$26))/SUMIF(SUMPRODUCT!$C$4:$C$10,SUMPRODUCT!G$26,SUMPRODUCT!$E$4:$E$10)</f>
        <v>31.25</v>
      </c>
      <c r="E11" s="172" t="s">
        <v>786</v>
      </c>
    </row>
    <row r="13" spans="1:52">
      <c r="B13" s="237" t="s">
        <v>1088</v>
      </c>
    </row>
    <row r="16" spans="1:52">
      <c r="B16" s="159" t="s">
        <v>1089</v>
      </c>
    </row>
    <row r="18" spans="2:7">
      <c r="B18" s="150" t="s">
        <v>1091</v>
      </c>
      <c r="C18" s="150" t="s">
        <v>1092</v>
      </c>
      <c r="D18" s="172" t="s">
        <v>1204</v>
      </c>
    </row>
    <row r="19" spans="2:7">
      <c r="B19" s="150" t="s">
        <v>1093</v>
      </c>
      <c r="C19" s="150" t="s">
        <v>1094</v>
      </c>
      <c r="D19" s="172" t="s">
        <v>1204</v>
      </c>
    </row>
    <row r="20" spans="2:7" ht="28">
      <c r="B20" s="185" t="s">
        <v>1095</v>
      </c>
      <c r="C20" s="238" t="s">
        <v>1096</v>
      </c>
      <c r="D20" s="239" t="s">
        <v>1099</v>
      </c>
    </row>
    <row r="21" spans="2:7" ht="28">
      <c r="B21" s="185" t="s">
        <v>1097</v>
      </c>
      <c r="C21" s="238" t="s">
        <v>1098</v>
      </c>
      <c r="D21" s="239" t="s">
        <v>1099</v>
      </c>
    </row>
    <row r="23" spans="2:7">
      <c r="B23" s="151" t="s">
        <v>780</v>
      </c>
    </row>
    <row r="25" spans="2:7">
      <c r="B25" s="166" t="s">
        <v>1106</v>
      </c>
    </row>
    <row r="26" spans="2:7">
      <c r="B26" s="166" t="s">
        <v>1107</v>
      </c>
      <c r="G26" s="165"/>
    </row>
    <row r="27" spans="2:7">
      <c r="B27" s="166" t="s">
        <v>765</v>
      </c>
    </row>
    <row r="29" spans="2:7">
      <c r="B29" s="166" t="s">
        <v>766</v>
      </c>
    </row>
    <row r="34" spans="2:7">
      <c r="B34" s="167" t="s">
        <v>779</v>
      </c>
    </row>
    <row r="35" spans="2:7">
      <c r="B35" s="167" t="s">
        <v>1083</v>
      </c>
    </row>
    <row r="36" spans="2:7">
      <c r="B36" s="167" t="s">
        <v>1090</v>
      </c>
      <c r="E36" s="168" t="s">
        <v>781</v>
      </c>
    </row>
    <row r="39" spans="2:7">
      <c r="B39" s="159" t="s">
        <v>804</v>
      </c>
    </row>
    <row r="41" spans="2:7">
      <c r="B41" s="150" t="s">
        <v>1100</v>
      </c>
      <c r="E41" s="240" t="s">
        <v>1101</v>
      </c>
    </row>
    <row r="42" spans="2:7">
      <c r="B42" s="150" t="s">
        <v>1205</v>
      </c>
    </row>
    <row r="48" spans="2:7">
      <c r="G48" s="165" t="s">
        <v>807</v>
      </c>
    </row>
    <row r="56" spans="2:9">
      <c r="G56" s="188" t="s">
        <v>806</v>
      </c>
    </row>
    <row r="64" spans="2:9" ht="14" thickBot="1">
      <c r="B64" s="170" t="s">
        <v>782</v>
      </c>
      <c r="C64" s="169"/>
      <c r="D64" s="169"/>
      <c r="E64" s="169"/>
      <c r="F64" s="169"/>
      <c r="G64" s="169"/>
      <c r="H64" s="169"/>
      <c r="I64" s="169"/>
    </row>
    <row r="66" spans="1:8">
      <c r="A66" s="152"/>
      <c r="B66" s="159" t="s">
        <v>783</v>
      </c>
      <c r="C66" s="151"/>
      <c r="D66" s="151"/>
      <c r="E66" s="151"/>
      <c r="F66" s="151"/>
      <c r="G66" s="151"/>
      <c r="H66" s="151"/>
    </row>
    <row r="67" spans="1:8">
      <c r="A67" s="151"/>
      <c r="B67" s="153"/>
      <c r="C67" s="151"/>
      <c r="D67" s="151"/>
      <c r="E67" s="151"/>
      <c r="F67" s="151"/>
      <c r="G67" s="151"/>
      <c r="H67" s="151"/>
    </row>
    <row r="68" spans="1:8">
      <c r="A68" s="151"/>
      <c r="B68" s="153" t="s">
        <v>767</v>
      </c>
      <c r="C68" s="151"/>
      <c r="D68" s="151"/>
      <c r="E68" s="151"/>
      <c r="F68" s="151"/>
      <c r="G68" s="151"/>
      <c r="H68" s="151"/>
    </row>
    <row r="69" spans="1:8">
      <c r="A69" s="151"/>
      <c r="B69" s="153"/>
      <c r="C69" s="151"/>
      <c r="D69" s="151"/>
      <c r="E69" s="151"/>
      <c r="F69" s="151"/>
      <c r="G69" s="151"/>
      <c r="H69" s="151"/>
    </row>
    <row r="70" spans="1:8">
      <c r="A70" s="151"/>
      <c r="B70" s="154" t="s">
        <v>768</v>
      </c>
      <c r="C70" s="171">
        <v>4.4999999999999998E-2</v>
      </c>
      <c r="D70" s="154"/>
      <c r="E70" s="151"/>
      <c r="F70" s="151"/>
      <c r="G70" s="155"/>
      <c r="H70" s="155"/>
    </row>
    <row r="71" spans="1:8">
      <c r="A71" s="151"/>
      <c r="B71" s="153"/>
      <c r="C71" s="151"/>
      <c r="D71" s="151"/>
      <c r="E71" s="151"/>
      <c r="F71" s="151"/>
      <c r="G71" s="151"/>
      <c r="H71" s="151"/>
    </row>
    <row r="72" spans="1:8">
      <c r="A72" s="151"/>
      <c r="B72" s="154" t="s">
        <v>769</v>
      </c>
      <c r="C72" s="156">
        <f>SUM(Formula_Auditing_Data!D13:D16)</f>
        <v>933907.62000000023</v>
      </c>
      <c r="D72" s="154"/>
      <c r="E72" s="151"/>
      <c r="F72" s="151"/>
      <c r="G72" s="155"/>
      <c r="H72" s="155"/>
    </row>
    <row r="73" spans="1:8">
      <c r="A73" s="151"/>
      <c r="B73" s="154" t="s">
        <v>770</v>
      </c>
      <c r="C73" s="156">
        <f>SUM(Formula_Auditing_Data!E13:E15)</f>
        <v>28436.781287500009</v>
      </c>
      <c r="D73" s="157"/>
      <c r="E73" s="151"/>
      <c r="F73" s="151"/>
      <c r="G73" s="155"/>
      <c r="H73" s="155"/>
    </row>
    <row r="74" spans="1:8">
      <c r="A74" s="151"/>
      <c r="B74" s="154" t="s">
        <v>771</v>
      </c>
      <c r="C74" s="157">
        <f>C72*4%/12</f>
        <v>3113.0254000000009</v>
      </c>
      <c r="D74" s="154"/>
      <c r="E74" s="151"/>
      <c r="F74" s="151"/>
      <c r="G74" s="155"/>
      <c r="H74" s="155"/>
    </row>
    <row r="75" spans="1:8">
      <c r="A75" s="151"/>
      <c r="B75" s="154" t="s">
        <v>772</v>
      </c>
      <c r="C75" s="157">
        <f>C73+C74</f>
        <v>31549.806687500011</v>
      </c>
      <c r="D75" s="154"/>
      <c r="E75" s="151"/>
      <c r="F75" s="151"/>
      <c r="G75" s="155"/>
      <c r="H75" s="155"/>
    </row>
    <row r="78" spans="1:8">
      <c r="B78" s="159" t="s">
        <v>805</v>
      </c>
    </row>
    <row r="80" spans="1:8">
      <c r="B80" s="150" t="s">
        <v>798</v>
      </c>
    </row>
    <row r="81" spans="2:9">
      <c r="B81" s="150" t="s">
        <v>799</v>
      </c>
      <c r="D81" s="93">
        <v>3000</v>
      </c>
    </row>
    <row r="83" spans="2:9">
      <c r="B83" s="150" t="s">
        <v>797</v>
      </c>
      <c r="D83" s="94" t="e">
        <f>SUM(Formula_Auditing_Data!G24:G29)+D81</f>
        <v>#DIV/0!</v>
      </c>
    </row>
    <row r="86" spans="2:9" ht="14" thickBot="1">
      <c r="B86" s="173" t="s">
        <v>784</v>
      </c>
      <c r="C86" s="174"/>
      <c r="D86" s="174"/>
      <c r="E86" s="174"/>
      <c r="F86" s="174"/>
      <c r="G86" s="174"/>
      <c r="H86" s="174"/>
      <c r="I86" s="174"/>
    </row>
    <row r="88" spans="2:9">
      <c r="B88" s="150" t="s">
        <v>785</v>
      </c>
      <c r="C88" s="94">
        <f>SUMPRODUCT(SUMPRODUCT!$D$4:$D$10,SUMPRODUCT!$E$4:$E$10,--(SUMPRODUCT!$C$4:$C$10=SUMPRODUCT!G$26))/SUMIF(SUMPRODUCT!$C$4:$C$10,SUMPRODUCT!G$26,SUMPRODUCT!$E$4:$E$10)</f>
        <v>31.25</v>
      </c>
      <c r="E88" s="172" t="s">
        <v>786</v>
      </c>
    </row>
    <row r="91" spans="2:9" ht="14" thickBot="1">
      <c r="B91" s="186" t="s">
        <v>800</v>
      </c>
      <c r="C91" s="187"/>
      <c r="D91" s="187"/>
      <c r="E91" s="187"/>
      <c r="F91" s="187"/>
      <c r="G91" s="187"/>
      <c r="H91" s="187"/>
      <c r="I91" s="187"/>
    </row>
    <row r="93" spans="2:9">
      <c r="B93" s="150" t="s">
        <v>1108</v>
      </c>
    </row>
    <row r="95" spans="2:9">
      <c r="B95" s="150" t="s">
        <v>801</v>
      </c>
      <c r="C95" s="107">
        <v>45</v>
      </c>
    </row>
  </sheetData>
  <dataConsolidate/>
  <conditionalFormatting sqref="A66">
    <cfRule type="cellIs" dxfId="4" priority="2" operator="equal">
      <formula>"OK"</formula>
    </cfRule>
  </conditionalFormatting>
  <conditionalFormatting sqref="A1:AZ1 C70 A76:A85">
    <cfRule type="cellIs" dxfId="3" priority="3" operator="equal">
      <formula>"OK"</formula>
    </cfRule>
  </conditionalFormatting>
  <hyperlinks>
    <hyperlink ref="E41" r:id="rId1" xr:uid="{00000000-0004-0000-1E00-000000000000}"/>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BA31"/>
  <sheetViews>
    <sheetView showGridLines="0" zoomScaleNormal="100" zoomScalePageLayoutView="85" workbookViewId="0">
      <selection activeCell="C18" sqref="C18"/>
    </sheetView>
  </sheetViews>
  <sheetFormatPr baseColWidth="10" defaultColWidth="8.83203125" defaultRowHeight="13"/>
  <cols>
    <col min="1" max="2" width="2.83203125" style="150" customWidth="1"/>
    <col min="3" max="3" width="27.5" style="150" bestFit="1" customWidth="1"/>
    <col min="4" max="4" width="15.83203125" style="150" customWidth="1"/>
    <col min="5" max="5" width="14.83203125" style="150" customWidth="1"/>
    <col min="6" max="6" width="11" style="150" bestFit="1" customWidth="1"/>
    <col min="7" max="7" width="12.1640625" style="150" customWidth="1"/>
    <col min="8" max="8" width="15.83203125" style="150" bestFit="1" customWidth="1"/>
    <col min="9" max="9" width="13.1640625" style="150" customWidth="1"/>
    <col min="10" max="16384" width="8.83203125" style="150"/>
  </cols>
  <sheetData>
    <row r="1" spans="1:53" s="148" customFormat="1" ht="12.75" customHeight="1">
      <c r="A1" s="158"/>
      <c r="D1" s="158"/>
      <c r="E1" s="158"/>
      <c r="BA1" s="149"/>
    </row>
    <row r="2" spans="1:53" s="148" customFormat="1" ht="12.75" customHeight="1">
      <c r="A2" s="158"/>
      <c r="C2" s="151"/>
      <c r="D2" s="158"/>
      <c r="E2" s="158"/>
      <c r="BA2" s="149"/>
    </row>
    <row r="3" spans="1:53" s="148" customFormat="1" ht="20" customHeight="1" thickBot="1">
      <c r="A3" s="160"/>
      <c r="B3" s="161" t="s">
        <v>803</v>
      </c>
      <c r="C3" s="161"/>
      <c r="D3" s="162"/>
      <c r="E3" s="163"/>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4"/>
    </row>
    <row r="4" spans="1:53" ht="14" thickTop="1"/>
    <row r="6" spans="1:53">
      <c r="A6" s="152"/>
      <c r="B6" s="151"/>
      <c r="C6" s="159" t="s">
        <v>773</v>
      </c>
      <c r="D6" s="151"/>
      <c r="E6" s="151"/>
      <c r="F6" s="151"/>
      <c r="G6" s="151"/>
      <c r="H6" s="151"/>
      <c r="I6" s="151"/>
    </row>
    <row r="7" spans="1:53">
      <c r="A7" s="151"/>
      <c r="B7" s="151"/>
      <c r="C7" s="153"/>
      <c r="D7" s="151"/>
      <c r="E7" s="151"/>
      <c r="F7" s="151"/>
      <c r="G7" s="151"/>
      <c r="H7" s="151"/>
      <c r="I7" s="151"/>
    </row>
    <row r="8" spans="1:53">
      <c r="A8" s="151"/>
      <c r="B8" s="151"/>
      <c r="C8" s="153" t="s">
        <v>774</v>
      </c>
      <c r="D8" s="151"/>
      <c r="E8" s="151"/>
      <c r="F8" s="151"/>
      <c r="G8" s="151"/>
      <c r="H8" s="151"/>
      <c r="I8" s="151"/>
    </row>
    <row r="9" spans="1:53">
      <c r="A9" s="151"/>
      <c r="B9" s="151"/>
      <c r="C9" s="153" t="s">
        <v>775</v>
      </c>
      <c r="D9" s="151"/>
      <c r="E9" s="151"/>
      <c r="F9" s="151"/>
      <c r="G9" s="151"/>
      <c r="H9" s="151"/>
      <c r="I9" s="151"/>
    </row>
    <row r="10" spans="1:53">
      <c r="A10" s="151"/>
      <c r="B10" s="151"/>
      <c r="C10" s="154" t="s">
        <v>776</v>
      </c>
      <c r="D10" s="154"/>
      <c r="E10" s="154"/>
      <c r="F10" s="151"/>
      <c r="G10" s="151"/>
      <c r="H10" s="155"/>
      <c r="I10" s="155"/>
    </row>
    <row r="11" spans="1:53">
      <c r="A11" s="151"/>
      <c r="B11" s="151"/>
      <c r="C11" s="154"/>
      <c r="D11" s="154"/>
      <c r="E11" s="154"/>
      <c r="F11" s="151"/>
      <c r="G11" s="151"/>
      <c r="H11" s="155"/>
      <c r="I11" s="155"/>
    </row>
    <row r="12" spans="1:53">
      <c r="A12" s="151"/>
      <c r="B12" s="151"/>
      <c r="C12" s="175" t="s">
        <v>777</v>
      </c>
      <c r="D12" s="176" t="s">
        <v>751</v>
      </c>
      <c r="E12" s="176" t="s">
        <v>778</v>
      </c>
      <c r="F12" s="151"/>
      <c r="G12" s="151"/>
      <c r="H12" s="155"/>
      <c r="I12" s="155"/>
    </row>
    <row r="13" spans="1:53">
      <c r="A13" s="151"/>
      <c r="B13" s="151">
        <v>1</v>
      </c>
      <c r="C13" s="177">
        <v>1638212</v>
      </c>
      <c r="D13" s="178">
        <v>855675.41000000015</v>
      </c>
      <c r="E13" s="179">
        <v>27452.919404166674</v>
      </c>
      <c r="F13" s="180"/>
      <c r="G13" s="151"/>
      <c r="H13" s="155"/>
      <c r="I13" s="155"/>
    </row>
    <row r="14" spans="1:53">
      <c r="A14" s="151"/>
      <c r="B14" s="151">
        <v>2</v>
      </c>
      <c r="C14" s="177">
        <v>1274245</v>
      </c>
      <c r="D14" s="178">
        <v>34005.430000000168</v>
      </c>
      <c r="E14" s="179">
        <v>623.43288333333635</v>
      </c>
      <c r="F14" s="180"/>
      <c r="G14" s="151"/>
      <c r="H14" s="155"/>
      <c r="I14" s="155"/>
    </row>
    <row r="15" spans="1:53">
      <c r="A15" s="151"/>
      <c r="B15" s="151">
        <v>3</v>
      </c>
      <c r="C15" s="177">
        <v>7129387</v>
      </c>
      <c r="D15" s="178">
        <v>18021.449999999953</v>
      </c>
      <c r="E15" s="179">
        <v>360.42899999999906</v>
      </c>
      <c r="F15" s="180"/>
      <c r="G15" s="151"/>
      <c r="H15" s="155"/>
      <c r="I15" s="155"/>
    </row>
    <row r="16" spans="1:53">
      <c r="A16" s="151"/>
      <c r="B16" s="151">
        <v>4</v>
      </c>
      <c r="C16" s="177">
        <v>4871383</v>
      </c>
      <c r="D16" s="178">
        <v>26205.33</v>
      </c>
      <c r="E16" s="179">
        <v>1032.9267574999999</v>
      </c>
      <c r="F16" s="180"/>
      <c r="G16" s="151"/>
      <c r="H16" s="155"/>
      <c r="I16" s="155"/>
    </row>
    <row r="17" spans="1:53">
      <c r="A17" s="151"/>
      <c r="B17" s="151"/>
      <c r="C17" s="154"/>
      <c r="D17" s="154"/>
      <c r="E17" s="154"/>
      <c r="F17" s="151"/>
      <c r="G17" s="151"/>
      <c r="H17" s="155"/>
      <c r="I17" s="155"/>
    </row>
    <row r="18" spans="1:53">
      <c r="A18" s="151"/>
      <c r="B18" s="151"/>
      <c r="C18" s="154"/>
      <c r="D18" s="154"/>
      <c r="E18" s="154"/>
      <c r="F18" s="151"/>
      <c r="G18" s="151"/>
      <c r="H18" s="151"/>
      <c r="I18" s="151"/>
    </row>
    <row r="19" spans="1:53">
      <c r="A19" s="151"/>
      <c r="B19" s="151"/>
      <c r="C19" s="154"/>
      <c r="D19" s="154"/>
      <c r="E19" s="154"/>
      <c r="F19" s="151"/>
      <c r="G19" s="151"/>
      <c r="H19" s="151"/>
      <c r="I19" s="151"/>
    </row>
    <row r="20" spans="1:53" s="148" customFormat="1" ht="20" customHeight="1" thickBot="1">
      <c r="A20" s="160"/>
      <c r="B20" s="161" t="s">
        <v>802</v>
      </c>
      <c r="C20" s="161"/>
      <c r="D20" s="162"/>
      <c r="E20" s="163"/>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4"/>
    </row>
    <row r="21" spans="1:53" ht="14" thickTop="1"/>
    <row r="22" spans="1:53" ht="28">
      <c r="C22" s="150" t="s">
        <v>788</v>
      </c>
      <c r="D22" s="185" t="s">
        <v>794</v>
      </c>
      <c r="E22" s="185" t="s">
        <v>793</v>
      </c>
      <c r="F22" s="185" t="s">
        <v>795</v>
      </c>
      <c r="G22" s="185" t="s">
        <v>796</v>
      </c>
    </row>
    <row r="24" spans="1:53">
      <c r="C24" s="150" t="s">
        <v>789</v>
      </c>
      <c r="D24" s="183">
        <v>23</v>
      </c>
      <c r="E24" s="181">
        <v>1000</v>
      </c>
      <c r="F24" s="150">
        <v>28</v>
      </c>
      <c r="G24" s="184">
        <f>F24*E24/D24</f>
        <v>1217.391304347826</v>
      </c>
    </row>
    <row r="25" spans="1:53">
      <c r="C25" s="150" t="s">
        <v>35</v>
      </c>
      <c r="D25" s="183">
        <v>45</v>
      </c>
      <c r="E25" s="181">
        <v>2560</v>
      </c>
      <c r="F25" s="150">
        <v>45</v>
      </c>
      <c r="G25" s="184">
        <f t="shared" ref="G25:G29" si="0">F25*E25/D25</f>
        <v>2560</v>
      </c>
    </row>
    <row r="26" spans="1:53">
      <c r="C26" s="150" t="s">
        <v>790</v>
      </c>
      <c r="D26" s="183">
        <v>50</v>
      </c>
      <c r="E26" s="181">
        <v>1984</v>
      </c>
      <c r="F26" s="150">
        <v>55</v>
      </c>
      <c r="G26" s="184">
        <f t="shared" si="0"/>
        <v>2182.4</v>
      </c>
    </row>
    <row r="27" spans="1:53">
      <c r="C27" s="150" t="s">
        <v>37</v>
      </c>
      <c r="D27" s="183">
        <v>12</v>
      </c>
      <c r="E27" s="181">
        <v>998</v>
      </c>
      <c r="F27" s="150">
        <v>20</v>
      </c>
      <c r="G27" s="184">
        <f t="shared" si="0"/>
        <v>1663.3333333333333</v>
      </c>
    </row>
    <row r="28" spans="1:53">
      <c r="C28" s="150" t="s">
        <v>791</v>
      </c>
      <c r="D28" s="183">
        <v>0</v>
      </c>
      <c r="E28" s="181">
        <v>0</v>
      </c>
      <c r="F28" s="150">
        <v>15</v>
      </c>
      <c r="G28" s="184" t="e">
        <f>F28*E28/D28</f>
        <v>#DIV/0!</v>
      </c>
    </row>
    <row r="29" spans="1:53">
      <c r="C29" s="150" t="s">
        <v>792</v>
      </c>
      <c r="D29" s="183">
        <v>40</v>
      </c>
      <c r="E29" s="181">
        <v>2269</v>
      </c>
      <c r="F29" s="182">
        <f>Formula_Auditing!C95</f>
        <v>45</v>
      </c>
      <c r="G29" s="184">
        <f t="shared" si="0"/>
        <v>2552.625</v>
      </c>
    </row>
    <row r="31" spans="1:53">
      <c r="C31" s="150" t="s">
        <v>23</v>
      </c>
      <c r="F31" s="150">
        <f>SUM(F24:F29)</f>
        <v>208</v>
      </c>
    </row>
  </sheetData>
  <dataConsolidate/>
  <conditionalFormatting sqref="A6">
    <cfRule type="cellIs" dxfId="2" priority="3" operator="equal">
      <formula>"OK"</formula>
    </cfRule>
  </conditionalFormatting>
  <conditionalFormatting sqref="A1:BA1 A2:B2 D2:BA2 A3:BA3">
    <cfRule type="cellIs" dxfId="1" priority="4" operator="equal">
      <formula>"OK"</formula>
    </cfRule>
  </conditionalFormatting>
  <conditionalFormatting sqref="A20:BA20">
    <cfRule type="cellIs" dxfId="0" priority="1" operator="equal">
      <formula>"OK"</formula>
    </cfRule>
  </conditionalFormatting>
  <pageMargins left="0.7" right="0.7" top="0.75" bottom="0.75" header="0.3" footer="0.3"/>
  <pageSetup paperSize="9" orientation="portrait" r:id="rId1"/>
  <cellWatches>
    <cellWatch r="F31"/>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B1:U64"/>
  <sheetViews>
    <sheetView showGridLines="0" topLeftCell="A42" zoomScale="85" zoomScaleNormal="85" workbookViewId="0">
      <selection activeCell="Q20" sqref="Q20"/>
    </sheetView>
  </sheetViews>
  <sheetFormatPr baseColWidth="10" defaultColWidth="9.1640625" defaultRowHeight="12"/>
  <cols>
    <col min="1" max="1" width="2" style="214" customWidth="1"/>
    <col min="2" max="14" width="9.1640625" style="214"/>
    <col min="15" max="15" width="9.1640625" style="214" customWidth="1"/>
    <col min="16" max="16384" width="9.1640625" style="214"/>
  </cols>
  <sheetData>
    <row r="1" spans="2:15" ht="14">
      <c r="B1" s="213" t="s">
        <v>304</v>
      </c>
    </row>
    <row r="2" spans="2:15">
      <c r="B2" s="214" t="s">
        <v>421</v>
      </c>
    </row>
    <row r="3" spans="2:15">
      <c r="B3" s="214" t="s">
        <v>348</v>
      </c>
    </row>
    <row r="5" spans="2:15">
      <c r="B5" s="215" t="s">
        <v>349</v>
      </c>
    </row>
    <row r="6" spans="2:15">
      <c r="B6" s="217" t="s">
        <v>350</v>
      </c>
    </row>
    <row r="7" spans="2:15">
      <c r="B7" s="220" t="s">
        <v>351</v>
      </c>
      <c r="H7" s="214" t="s">
        <v>401</v>
      </c>
      <c r="I7" s="220" t="s">
        <v>423</v>
      </c>
    </row>
    <row r="10" spans="2:15" ht="13">
      <c r="O10" s="71"/>
    </row>
    <row r="14" spans="2:15">
      <c r="B14" s="214" t="s">
        <v>352</v>
      </c>
    </row>
    <row r="15" spans="2:15">
      <c r="B15" s="214" t="s">
        <v>353</v>
      </c>
    </row>
    <row r="17" spans="2:15">
      <c r="B17" s="217" t="s">
        <v>354</v>
      </c>
    </row>
    <row r="18" spans="2:15">
      <c r="B18" s="220" t="s">
        <v>429</v>
      </c>
      <c r="H18" s="214" t="s">
        <v>401</v>
      </c>
      <c r="I18" s="220" t="s">
        <v>420</v>
      </c>
    </row>
    <row r="21" spans="2:15" ht="13">
      <c r="O21" s="71"/>
    </row>
    <row r="25" spans="2:15">
      <c r="B25" s="214" t="s">
        <v>355</v>
      </c>
    </row>
    <row r="26" spans="2:15">
      <c r="B26" s="214" t="s">
        <v>356</v>
      </c>
    </row>
    <row r="28" spans="2:15">
      <c r="B28" s="214" t="s">
        <v>357</v>
      </c>
    </row>
    <row r="29" spans="2:15">
      <c r="B29" s="214" t="s">
        <v>358</v>
      </c>
    </row>
    <row r="31" spans="2:15">
      <c r="B31" s="215" t="s">
        <v>422</v>
      </c>
    </row>
    <row r="32" spans="2:15">
      <c r="B32" s="214" t="s">
        <v>397</v>
      </c>
    </row>
    <row r="35" spans="2:21" ht="13">
      <c r="H35" s="214" t="s">
        <v>401</v>
      </c>
      <c r="L35" s="71"/>
    </row>
    <row r="39" spans="2:21">
      <c r="B39" s="214" t="s">
        <v>398</v>
      </c>
    </row>
    <row r="41" spans="2:21">
      <c r="B41" s="215" t="s">
        <v>425</v>
      </c>
    </row>
    <row r="43" spans="2:21">
      <c r="B43" s="217" t="s">
        <v>426</v>
      </c>
      <c r="U43" s="59"/>
    </row>
    <row r="44" spans="2:21">
      <c r="B44" s="220" t="s">
        <v>424</v>
      </c>
    </row>
    <row r="46" spans="2:21" ht="13">
      <c r="E46" s="71"/>
    </row>
    <row r="47" spans="2:21">
      <c r="M47" s="59"/>
    </row>
    <row r="51" spans="2:18">
      <c r="B51" s="217" t="s">
        <v>427</v>
      </c>
    </row>
    <row r="52" spans="2:18">
      <c r="B52" s="220" t="s">
        <v>1104</v>
      </c>
      <c r="L52" s="59"/>
      <c r="R52" s="59"/>
    </row>
    <row r="54" spans="2:18" ht="13">
      <c r="E54" s="71"/>
      <c r="F54" s="71"/>
      <c r="G54" s="71"/>
    </row>
    <row r="55" spans="2:18">
      <c r="H55" s="214" t="s">
        <v>401</v>
      </c>
    </row>
    <row r="61" spans="2:18">
      <c r="B61" s="214" t="s">
        <v>444</v>
      </c>
    </row>
    <row r="62" spans="2:18">
      <c r="B62" s="214" t="s">
        <v>445</v>
      </c>
    </row>
    <row r="63" spans="2:18">
      <c r="B63" s="214" t="s">
        <v>446</v>
      </c>
    </row>
    <row r="64" spans="2:18">
      <c r="B64" s="214" t="s">
        <v>447</v>
      </c>
    </row>
  </sheetData>
  <pageMargins left="0.6" right="0.6" top="1" bottom="1" header="0.5" footer="0.5"/>
  <pageSetup paperSize="9" scale="61" orientation="landscape" r:id="rId1"/>
  <headerFooter>
    <oddHeader>&amp;RDraft - Work in Progress</oddHeader>
    <oddFooter>&amp;L&amp;F
&amp;D, &amp;T&amp;CPage &amp;P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B1:N125"/>
  <sheetViews>
    <sheetView showGridLines="0" topLeftCell="A99" zoomScale="80" zoomScaleNormal="80" workbookViewId="0">
      <selection activeCell="I24" sqref="I24"/>
    </sheetView>
  </sheetViews>
  <sheetFormatPr baseColWidth="10" defaultColWidth="9.1640625" defaultRowHeight="12"/>
  <cols>
    <col min="1" max="1" width="2" style="214" customWidth="1"/>
    <col min="2" max="2" width="23.5" style="214" customWidth="1"/>
    <col min="3" max="16384" width="9.1640625" style="214"/>
  </cols>
  <sheetData>
    <row r="1" spans="2:2" ht="14">
      <c r="B1" s="213" t="s">
        <v>304</v>
      </c>
    </row>
    <row r="2" spans="2:2">
      <c r="B2" s="216" t="s">
        <v>359</v>
      </c>
    </row>
    <row r="3" spans="2:2">
      <c r="B3" s="216" t="s">
        <v>436</v>
      </c>
    </row>
    <row r="4" spans="2:2">
      <c r="B4" s="216" t="s">
        <v>360</v>
      </c>
    </row>
    <row r="6" spans="2:2">
      <c r="B6" s="217" t="s">
        <v>361</v>
      </c>
    </row>
    <row r="11" spans="2:2">
      <c r="B11" s="217" t="s">
        <v>362</v>
      </c>
    </row>
    <row r="17" spans="2:3">
      <c r="B17" s="214" t="s">
        <v>363</v>
      </c>
    </row>
    <row r="18" spans="2:3">
      <c r="B18" s="214" t="s">
        <v>364</v>
      </c>
    </row>
    <row r="19" spans="2:3" ht="13" thickBot="1"/>
    <row r="20" spans="2:3" ht="13" thickBot="1">
      <c r="B20" s="218" t="s">
        <v>365</v>
      </c>
      <c r="C20" s="219"/>
    </row>
    <row r="22" spans="2:3">
      <c r="B22" s="214" t="s">
        <v>366</v>
      </c>
    </row>
    <row r="24" spans="2:3">
      <c r="B24" s="215" t="s">
        <v>367</v>
      </c>
    </row>
    <row r="25" spans="2:3">
      <c r="B25" s="220" t="s">
        <v>1069</v>
      </c>
    </row>
    <row r="31" spans="2:3">
      <c r="B31" s="214" t="s">
        <v>368</v>
      </c>
    </row>
    <row r="32" spans="2:3">
      <c r="B32" s="214" t="s">
        <v>369</v>
      </c>
    </row>
    <row r="33" spans="2:2">
      <c r="B33" s="214" t="s">
        <v>370</v>
      </c>
    </row>
    <row r="34" spans="2:2">
      <c r="B34" s="214" t="s">
        <v>371</v>
      </c>
    </row>
    <row r="36" spans="2:2">
      <c r="B36" s="217" t="s">
        <v>372</v>
      </c>
    </row>
    <row r="37" spans="2:2">
      <c r="B37" s="214" t="s">
        <v>373</v>
      </c>
    </row>
    <row r="38" spans="2:2">
      <c r="B38" s="214" t="s">
        <v>374</v>
      </c>
    </row>
    <row r="39" spans="2:2">
      <c r="B39" s="214" t="s">
        <v>375</v>
      </c>
    </row>
    <row r="40" spans="2:2">
      <c r="B40" s="220" t="s">
        <v>376</v>
      </c>
    </row>
    <row r="46" spans="2:2">
      <c r="B46" s="217" t="s">
        <v>377</v>
      </c>
    </row>
    <row r="47" spans="2:2">
      <c r="B47" s="214" t="s">
        <v>378</v>
      </c>
    </row>
    <row r="48" spans="2:2">
      <c r="B48" s="214" t="s">
        <v>379</v>
      </c>
    </row>
    <row r="55" spans="2:5">
      <c r="B55" s="214" t="s">
        <v>380</v>
      </c>
    </row>
    <row r="57" spans="2:5" ht="24">
      <c r="B57" s="222" t="s">
        <v>381</v>
      </c>
      <c r="E57" s="214" t="s">
        <v>382</v>
      </c>
    </row>
    <row r="59" spans="2:5">
      <c r="B59" s="217" t="s">
        <v>383</v>
      </c>
    </row>
    <row r="60" spans="2:5">
      <c r="B60" s="214" t="s">
        <v>384</v>
      </c>
    </row>
    <row r="67" spans="2:10">
      <c r="B67" s="214" t="s">
        <v>385</v>
      </c>
    </row>
    <row r="69" spans="2:10">
      <c r="B69" s="217" t="s">
        <v>386</v>
      </c>
    </row>
    <row r="70" spans="2:10">
      <c r="B70" s="214" t="s">
        <v>399</v>
      </c>
    </row>
    <row r="71" spans="2:10">
      <c r="B71" s="214" t="s">
        <v>387</v>
      </c>
    </row>
    <row r="73" spans="2:10">
      <c r="B73" s="214" t="s">
        <v>388</v>
      </c>
    </row>
    <row r="74" spans="2:10">
      <c r="B74" s="215" t="s">
        <v>64</v>
      </c>
      <c r="C74" s="215" t="s">
        <v>0</v>
      </c>
      <c r="D74" s="215" t="s">
        <v>1</v>
      </c>
      <c r="E74" s="215" t="s">
        <v>2</v>
      </c>
      <c r="F74" s="215" t="s">
        <v>66</v>
      </c>
      <c r="G74" s="215" t="s">
        <v>67</v>
      </c>
      <c r="H74" s="215" t="s">
        <v>68</v>
      </c>
      <c r="I74" s="215" t="s">
        <v>280</v>
      </c>
      <c r="J74" s="215" t="s">
        <v>281</v>
      </c>
    </row>
    <row r="75" spans="2:10">
      <c r="B75" s="215" t="s">
        <v>389</v>
      </c>
      <c r="C75" s="214">
        <v>123</v>
      </c>
      <c r="D75" s="214">
        <v>128</v>
      </c>
      <c r="E75" s="214">
        <v>133</v>
      </c>
      <c r="F75" s="214">
        <v>138</v>
      </c>
      <c r="G75" s="214">
        <v>143</v>
      </c>
      <c r="H75" s="214">
        <v>148</v>
      </c>
      <c r="I75" s="214">
        <v>153</v>
      </c>
      <c r="J75" s="214">
        <v>158</v>
      </c>
    </row>
    <row r="77" spans="2:10">
      <c r="B77" s="214" t="s">
        <v>390</v>
      </c>
    </row>
    <row r="78" spans="2:10">
      <c r="B78" s="215" t="s">
        <v>64</v>
      </c>
      <c r="C78" s="215" t="s">
        <v>389</v>
      </c>
    </row>
    <row r="79" spans="2:10">
      <c r="B79" s="215" t="s">
        <v>0</v>
      </c>
      <c r="C79" s="214">
        <v>123</v>
      </c>
    </row>
    <row r="80" spans="2:10">
      <c r="B80" s="215" t="s">
        <v>1</v>
      </c>
      <c r="C80" s="214">
        <v>128</v>
      </c>
    </row>
    <row r="81" spans="2:3">
      <c r="B81" s="215" t="s">
        <v>2</v>
      </c>
      <c r="C81" s="214">
        <v>133</v>
      </c>
    </row>
    <row r="82" spans="2:3">
      <c r="B82" s="215" t="s">
        <v>66</v>
      </c>
      <c r="C82" s="214">
        <v>138</v>
      </c>
    </row>
    <row r="83" spans="2:3">
      <c r="B83" s="215" t="s">
        <v>67</v>
      </c>
      <c r="C83" s="214">
        <v>143</v>
      </c>
    </row>
    <row r="84" spans="2:3">
      <c r="B84" s="215" t="s">
        <v>68</v>
      </c>
      <c r="C84" s="214">
        <v>148</v>
      </c>
    </row>
    <row r="85" spans="2:3">
      <c r="B85" s="215" t="s">
        <v>280</v>
      </c>
      <c r="C85" s="214">
        <v>153</v>
      </c>
    </row>
    <row r="86" spans="2:3">
      <c r="B86" s="215" t="s">
        <v>281</v>
      </c>
      <c r="C86" s="214">
        <v>158</v>
      </c>
    </row>
    <row r="88" spans="2:3">
      <c r="B88" s="214" t="s">
        <v>391</v>
      </c>
    </row>
    <row r="95" spans="2:3">
      <c r="B95" s="214" t="s">
        <v>392</v>
      </c>
    </row>
    <row r="97" spans="2:14">
      <c r="B97" s="215" t="s">
        <v>430</v>
      </c>
    </row>
    <row r="98" spans="2:14">
      <c r="B98" s="214" t="s">
        <v>435</v>
      </c>
    </row>
    <row r="99" spans="2:14">
      <c r="B99" s="214" t="s">
        <v>432</v>
      </c>
    </row>
    <row r="100" spans="2:14">
      <c r="B100" s="214" t="s">
        <v>1067</v>
      </c>
    </row>
    <row r="101" spans="2:14">
      <c r="B101" s="220" t="s">
        <v>434</v>
      </c>
    </row>
    <row r="104" spans="2:14" ht="13">
      <c r="I104" s="71"/>
    </row>
    <row r="108" spans="2:14">
      <c r="B108" s="214" t="s">
        <v>433</v>
      </c>
    </row>
    <row r="109" spans="2:14">
      <c r="B109" s="214" t="s">
        <v>431</v>
      </c>
    </row>
    <row r="110" spans="2:14">
      <c r="K110" s="221">
        <v>15</v>
      </c>
      <c r="L110" s="221">
        <v>12</v>
      </c>
      <c r="M110" s="221">
        <v>8</v>
      </c>
      <c r="N110" s="221">
        <v>7</v>
      </c>
    </row>
    <row r="111" spans="2:14">
      <c r="J111" s="221">
        <v>1</v>
      </c>
      <c r="K111" s="214">
        <f t="shared" ref="K111:N113" si="0">$J111*K$110</f>
        <v>15</v>
      </c>
      <c r="L111" s="214">
        <f t="shared" si="0"/>
        <v>12</v>
      </c>
      <c r="M111" s="214">
        <f t="shared" si="0"/>
        <v>8</v>
      </c>
      <c r="N111" s="214">
        <f t="shared" si="0"/>
        <v>7</v>
      </c>
    </row>
    <row r="112" spans="2:14">
      <c r="J112" s="221">
        <v>2</v>
      </c>
      <c r="K112" s="214">
        <f t="shared" si="0"/>
        <v>30</v>
      </c>
      <c r="L112" s="214">
        <f t="shared" si="0"/>
        <v>24</v>
      </c>
      <c r="M112" s="214">
        <f t="shared" si="0"/>
        <v>16</v>
      </c>
      <c r="N112" s="214">
        <f t="shared" si="0"/>
        <v>14</v>
      </c>
    </row>
    <row r="113" spans="2:14">
      <c r="J113" s="221">
        <v>3</v>
      </c>
      <c r="K113" s="214">
        <f t="shared" si="0"/>
        <v>45</v>
      </c>
      <c r="L113" s="214">
        <f t="shared" si="0"/>
        <v>36</v>
      </c>
      <c r="M113" s="214">
        <f t="shared" si="0"/>
        <v>24</v>
      </c>
      <c r="N113" s="214">
        <f t="shared" si="0"/>
        <v>21</v>
      </c>
    </row>
    <row r="115" spans="2:14">
      <c r="B115" s="215" t="s">
        <v>437</v>
      </c>
    </row>
    <row r="116" spans="2:14">
      <c r="B116" s="214" t="s">
        <v>440</v>
      </c>
    </row>
    <row r="118" spans="2:14">
      <c r="B118" s="217" t="s">
        <v>438</v>
      </c>
    </row>
    <row r="123" spans="2:14">
      <c r="B123" s="214" t="s">
        <v>439</v>
      </c>
    </row>
    <row r="125" spans="2:14">
      <c r="B125" s="215" t="s">
        <v>1187</v>
      </c>
      <c r="G125" s="59"/>
    </row>
  </sheetData>
  <pageMargins left="0.6" right="0.6" top="1" bottom="1" header="0.5" footer="0.5"/>
  <pageSetup paperSize="9" scale="31" orientation="landscape" r:id="rId1"/>
  <headerFooter>
    <oddHeader>&amp;RDraft - Work in Progress</oddHeader>
    <oddFooter>&amp;L&amp;F
&amp;D, &amp;T&amp;CPage &amp;P of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
  <sheetViews>
    <sheetView workbookViewId="0">
      <selection activeCell="H36" sqref="H36"/>
    </sheetView>
  </sheetViews>
  <sheetFormatPr baseColWidth="10" defaultColWidth="9.1640625" defaultRowHeight="12"/>
  <cols>
    <col min="1" max="16384" width="9.1640625" style="58"/>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B1:K62"/>
  <sheetViews>
    <sheetView showGridLines="0" zoomScale="80" zoomScaleNormal="80" workbookViewId="0">
      <selection activeCell="J31" sqref="J31"/>
    </sheetView>
  </sheetViews>
  <sheetFormatPr baseColWidth="10" defaultColWidth="9.1640625" defaultRowHeight="12"/>
  <cols>
    <col min="1" max="1" width="2" style="214" customWidth="1"/>
    <col min="2" max="2" width="23.5" style="214" customWidth="1"/>
    <col min="3" max="3" width="9.83203125" style="214" bestFit="1" customWidth="1"/>
    <col min="4" max="16384" width="9.1640625" style="214"/>
  </cols>
  <sheetData>
    <row r="1" spans="2:2" ht="14">
      <c r="B1" s="213" t="s">
        <v>304</v>
      </c>
    </row>
    <row r="3" spans="2:2">
      <c r="B3" s="214" t="s">
        <v>1066</v>
      </c>
    </row>
    <row r="5" spans="2:2">
      <c r="B5" s="215" t="s">
        <v>1068</v>
      </c>
    </row>
    <row r="7" spans="2:2">
      <c r="B7" s="214" t="s">
        <v>1070</v>
      </c>
    </row>
    <row r="9" spans="2:2">
      <c r="B9" s="217" t="s">
        <v>1071</v>
      </c>
    </row>
    <row r="16" spans="2:2">
      <c r="B16" s="215" t="s">
        <v>1072</v>
      </c>
    </row>
    <row r="18" spans="2:7">
      <c r="B18" s="217" t="s">
        <v>1073</v>
      </c>
      <c r="E18" s="232"/>
    </row>
    <row r="19" spans="2:7" ht="13" thickBot="1"/>
    <row r="20" spans="2:7">
      <c r="F20" s="233"/>
    </row>
    <row r="21" spans="2:7">
      <c r="F21" s="235" t="s">
        <v>1074</v>
      </c>
    </row>
    <row r="22" spans="2:7" ht="13" thickBot="1">
      <c r="F22" s="234"/>
    </row>
    <row r="24" spans="2:7">
      <c r="F24" s="256">
        <v>1</v>
      </c>
      <c r="G24" s="214" t="s">
        <v>1075</v>
      </c>
    </row>
    <row r="25" spans="2:7">
      <c r="F25" s="256">
        <v>2</v>
      </c>
      <c r="G25" s="214" t="s">
        <v>1076</v>
      </c>
    </row>
    <row r="26" spans="2:7">
      <c r="F26" s="256">
        <v>3</v>
      </c>
      <c r="G26" s="214" t="s">
        <v>80</v>
      </c>
    </row>
    <row r="27" spans="2:7">
      <c r="F27" s="256">
        <v>4</v>
      </c>
      <c r="G27" s="214" t="s">
        <v>1079</v>
      </c>
    </row>
    <row r="28" spans="2:7">
      <c r="F28" s="256">
        <v>5</v>
      </c>
      <c r="G28" s="214" t="s">
        <v>1077</v>
      </c>
    </row>
    <row r="29" spans="2:7">
      <c r="F29" s="256">
        <v>6</v>
      </c>
      <c r="G29" s="214" t="s">
        <v>1078</v>
      </c>
    </row>
    <row r="31" spans="2:7">
      <c r="B31" s="214" t="s">
        <v>1080</v>
      </c>
      <c r="C31" s="236">
        <v>123.4567</v>
      </c>
    </row>
    <row r="34" spans="2:2">
      <c r="B34" s="217" t="s">
        <v>1082</v>
      </c>
    </row>
    <row r="41" spans="2:2">
      <c r="B41" s="217" t="s">
        <v>1081</v>
      </c>
    </row>
    <row r="48" spans="2:2">
      <c r="B48" s="215" t="s">
        <v>1102</v>
      </c>
    </row>
    <row r="50" spans="2:11">
      <c r="B50" s="214" t="s">
        <v>1103</v>
      </c>
    </row>
    <row r="56" spans="2:11">
      <c r="B56" s="217" t="s">
        <v>428</v>
      </c>
    </row>
    <row r="58" spans="2:11" ht="11" customHeight="1"/>
    <row r="59" spans="2:11" ht="13">
      <c r="I59" s="71"/>
      <c r="J59" s="71"/>
      <c r="K59" s="71"/>
    </row>
    <row r="62" spans="2:11">
      <c r="B62" s="217" t="s">
        <v>1105</v>
      </c>
    </row>
  </sheetData>
  <pageMargins left="0.6" right="0.6" top="1" bottom="1" header="0.5" footer="0.5"/>
  <pageSetup paperSize="9" scale="59" orientation="landscape" r:id="rId1"/>
  <headerFooter>
    <oddHeader>&amp;RDraft - Work in Progress</oddHeader>
    <oddFooter>&amp;L&amp;F
&amp;D, &amp;T&amp;CPage &amp;P of &amp;N&amp;R&amp;A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8.83203125" defaultRowHeight="1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3:I129"/>
  <sheetViews>
    <sheetView showGridLines="0" zoomScale="90" zoomScaleNormal="90" workbookViewId="0">
      <pane ySplit="13" topLeftCell="A109" activePane="bottomLeft" state="frozen"/>
      <selection pane="bottomLeft"/>
    </sheetView>
  </sheetViews>
  <sheetFormatPr baseColWidth="10" defaultColWidth="8.83203125" defaultRowHeight="13" outlineLevelRow="1"/>
  <cols>
    <col min="1" max="1" width="8.83203125" style="194"/>
    <col min="2" max="2" width="19.6640625" style="194" customWidth="1"/>
    <col min="3" max="3" width="24.5" style="194" customWidth="1"/>
    <col min="4" max="4" width="109.83203125" style="194" customWidth="1"/>
    <col min="5" max="5" width="8.83203125" style="194"/>
    <col min="6" max="6" width="9.83203125" style="194" bestFit="1" customWidth="1"/>
    <col min="7" max="7" width="8.83203125" style="194"/>
    <col min="8" max="8" width="10.5" style="194" bestFit="1" customWidth="1"/>
    <col min="9" max="9" width="9.33203125" style="194" bestFit="1" customWidth="1"/>
    <col min="10" max="16384" width="8.83203125" style="194"/>
  </cols>
  <sheetData>
    <row r="3" spans="2:4" ht="15" thickBot="1">
      <c r="B3" s="203" t="s">
        <v>1228</v>
      </c>
      <c r="C3" s="203" t="s">
        <v>872</v>
      </c>
      <c r="D3" s="203" t="s">
        <v>862</v>
      </c>
    </row>
    <row r="4" spans="2:4">
      <c r="B4" s="206"/>
      <c r="C4" s="206"/>
      <c r="D4" s="206"/>
    </row>
    <row r="5" spans="2:4">
      <c r="B5" s="204" t="s">
        <v>1055</v>
      </c>
      <c r="C5" s="201"/>
      <c r="D5" s="201"/>
    </row>
    <row r="6" spans="2:4" outlineLevel="1">
      <c r="B6" s="206"/>
      <c r="C6" s="206"/>
      <c r="D6" s="206"/>
    </row>
    <row r="7" spans="2:4" outlineLevel="1">
      <c r="B7" s="208" t="s">
        <v>1056</v>
      </c>
      <c r="C7" s="207"/>
      <c r="D7" s="207"/>
    </row>
    <row r="8" spans="2:4" outlineLevel="1">
      <c r="B8" s="208" t="s">
        <v>1057</v>
      </c>
      <c r="C8" s="207"/>
      <c r="D8" s="207"/>
    </row>
    <row r="9" spans="2:4" s="209" customFormat="1" outlineLevel="1">
      <c r="B9" s="208" t="s">
        <v>1058</v>
      </c>
      <c r="C9" s="208"/>
      <c r="D9" s="208"/>
    </row>
    <row r="10" spans="2:4" s="209" customFormat="1" outlineLevel="1">
      <c r="B10" s="208"/>
      <c r="C10" s="208"/>
      <c r="D10" s="208"/>
    </row>
    <row r="11" spans="2:4" s="209" customFormat="1" outlineLevel="1">
      <c r="B11" s="208" t="s">
        <v>1059</v>
      </c>
      <c r="C11" s="208"/>
      <c r="D11" s="208"/>
    </row>
    <row r="12" spans="2:4" s="209" customFormat="1" outlineLevel="1">
      <c r="B12" s="266" t="s">
        <v>1060</v>
      </c>
      <c r="C12" s="208"/>
      <c r="D12" s="208"/>
    </row>
    <row r="13" spans="2:4" s="209" customFormat="1">
      <c r="B13" s="208"/>
      <c r="C13" s="208"/>
      <c r="D13" s="208"/>
    </row>
    <row r="14" spans="2:4">
      <c r="B14" s="204" t="s">
        <v>855</v>
      </c>
      <c r="C14" s="201"/>
      <c r="D14" s="201"/>
    </row>
    <row r="15" spans="2:4" outlineLevel="1">
      <c r="B15" s="195"/>
      <c r="C15" s="195"/>
      <c r="D15" s="195"/>
    </row>
    <row r="16" spans="2:4" ht="14" outlineLevel="1">
      <c r="B16" s="210" t="s">
        <v>263</v>
      </c>
      <c r="C16" s="210" t="s">
        <v>835</v>
      </c>
      <c r="D16" s="210" t="s">
        <v>836</v>
      </c>
    </row>
    <row r="17" spans="2:7" ht="14" outlineLevel="1">
      <c r="B17" s="196" t="s">
        <v>838</v>
      </c>
      <c r="C17" s="196" t="s">
        <v>835</v>
      </c>
      <c r="D17" s="196" t="s">
        <v>837</v>
      </c>
    </row>
    <row r="18" spans="2:7" ht="28" outlineLevel="1">
      <c r="B18" s="211" t="s">
        <v>540</v>
      </c>
      <c r="C18" s="211" t="s">
        <v>839</v>
      </c>
      <c r="D18" s="211" t="s">
        <v>840</v>
      </c>
    </row>
    <row r="19" spans="2:7" ht="28" outlineLevel="1">
      <c r="B19" s="211" t="s">
        <v>40</v>
      </c>
      <c r="C19" s="211" t="s">
        <v>835</v>
      </c>
      <c r="D19" s="211" t="s">
        <v>841</v>
      </c>
    </row>
    <row r="20" spans="2:7" ht="14" outlineLevel="1">
      <c r="B20" s="196" t="s">
        <v>842</v>
      </c>
      <c r="C20" s="196" t="s">
        <v>844</v>
      </c>
      <c r="D20" s="196" t="s">
        <v>845</v>
      </c>
    </row>
    <row r="21" spans="2:7" ht="42" outlineLevel="1">
      <c r="B21" s="196" t="s">
        <v>846</v>
      </c>
      <c r="C21" s="196" t="s">
        <v>843</v>
      </c>
      <c r="D21" s="196" t="s">
        <v>847</v>
      </c>
    </row>
    <row r="22" spans="2:7" ht="14" outlineLevel="1">
      <c r="B22" s="196" t="s">
        <v>849</v>
      </c>
      <c r="C22" s="196" t="s">
        <v>850</v>
      </c>
      <c r="D22" s="196" t="s">
        <v>848</v>
      </c>
    </row>
    <row r="23" spans="2:7" ht="14" outlineLevel="1">
      <c r="B23" s="196" t="s">
        <v>853</v>
      </c>
      <c r="C23" s="196" t="s">
        <v>843</v>
      </c>
      <c r="D23" s="196" t="s">
        <v>851</v>
      </c>
    </row>
    <row r="24" spans="2:7" ht="14" outlineLevel="1">
      <c r="B24" s="196" t="s">
        <v>854</v>
      </c>
      <c r="C24" s="196" t="s">
        <v>843</v>
      </c>
      <c r="D24" s="196" t="s">
        <v>852</v>
      </c>
    </row>
    <row r="25" spans="2:7" ht="14" outlineLevel="1">
      <c r="B25" s="196" t="s">
        <v>856</v>
      </c>
      <c r="C25" s="196" t="s">
        <v>844</v>
      </c>
      <c r="D25" s="196" t="s">
        <v>857</v>
      </c>
    </row>
    <row r="26" spans="2:7" ht="14" outlineLevel="1">
      <c r="B26" s="196" t="s">
        <v>858</v>
      </c>
      <c r="C26" s="196" t="s">
        <v>844</v>
      </c>
      <c r="D26" s="196" t="s">
        <v>859</v>
      </c>
    </row>
    <row r="27" spans="2:7" ht="14" outlineLevel="1">
      <c r="B27" s="196" t="s">
        <v>860</v>
      </c>
      <c r="C27" s="196" t="s">
        <v>861</v>
      </c>
      <c r="D27" s="196" t="s">
        <v>863</v>
      </c>
    </row>
    <row r="28" spans="2:7" ht="14" outlineLevel="1">
      <c r="B28" s="196" t="s">
        <v>69</v>
      </c>
      <c r="C28" s="196" t="s">
        <v>835</v>
      </c>
      <c r="D28" s="196" t="s">
        <v>864</v>
      </c>
    </row>
    <row r="29" spans="2:7" ht="14" outlineLevel="1">
      <c r="B29" s="196" t="s">
        <v>866</v>
      </c>
      <c r="C29" s="196" t="s">
        <v>835</v>
      </c>
      <c r="D29" s="196" t="s">
        <v>865</v>
      </c>
    </row>
    <row r="30" spans="2:7" ht="14" outlineLevel="1">
      <c r="B30" s="196" t="s">
        <v>867</v>
      </c>
      <c r="C30" s="196" t="s">
        <v>835</v>
      </c>
      <c r="D30" s="196" t="s">
        <v>868</v>
      </c>
    </row>
    <row r="31" spans="2:7" ht="14" outlineLevel="1">
      <c r="B31" s="211" t="s">
        <v>255</v>
      </c>
      <c r="C31" s="211" t="s">
        <v>835</v>
      </c>
      <c r="D31" s="211" t="s">
        <v>869</v>
      </c>
    </row>
    <row r="32" spans="2:7" ht="14" outlineLevel="1">
      <c r="B32" s="211" t="s">
        <v>245</v>
      </c>
      <c r="C32" s="211" t="s">
        <v>835</v>
      </c>
      <c r="D32" s="211" t="s">
        <v>870</v>
      </c>
      <c r="G32" s="198"/>
    </row>
    <row r="34" spans="2:4">
      <c r="B34" s="204" t="s">
        <v>871</v>
      </c>
      <c r="C34" s="201"/>
      <c r="D34" s="201"/>
    </row>
    <row r="35" spans="2:4" outlineLevel="1"/>
    <row r="36" spans="2:4" ht="14" outlineLevel="1">
      <c r="B36" s="197" t="s">
        <v>873</v>
      </c>
      <c r="C36" s="197" t="s">
        <v>875</v>
      </c>
      <c r="D36" s="197" t="s">
        <v>876</v>
      </c>
    </row>
    <row r="37" spans="2:4" ht="28" outlineLevel="1">
      <c r="B37" s="197" t="s">
        <v>874</v>
      </c>
      <c r="C37" s="197" t="s">
        <v>875</v>
      </c>
      <c r="D37" s="197" t="s">
        <v>877</v>
      </c>
    </row>
    <row r="38" spans="2:4" ht="28" outlineLevel="1">
      <c r="B38" s="197" t="s">
        <v>878</v>
      </c>
      <c r="C38" s="197" t="s">
        <v>879</v>
      </c>
      <c r="D38" s="197" t="s">
        <v>880</v>
      </c>
    </row>
    <row r="39" spans="2:4" ht="14" outlineLevel="1">
      <c r="B39" s="197" t="s">
        <v>881</v>
      </c>
      <c r="C39" s="197" t="s">
        <v>882</v>
      </c>
      <c r="D39" s="197" t="s">
        <v>883</v>
      </c>
    </row>
    <row r="40" spans="2:4" ht="14" outlineLevel="1">
      <c r="B40" s="197" t="s">
        <v>884</v>
      </c>
      <c r="C40" s="197" t="s">
        <v>882</v>
      </c>
      <c r="D40" s="197" t="s">
        <v>886</v>
      </c>
    </row>
    <row r="41" spans="2:4" ht="14" outlineLevel="1">
      <c r="B41" s="197" t="s">
        <v>885</v>
      </c>
      <c r="C41" s="197" t="s">
        <v>882</v>
      </c>
      <c r="D41" s="197" t="s">
        <v>888</v>
      </c>
    </row>
    <row r="42" spans="2:4" ht="14" outlineLevel="1">
      <c r="B42" s="197" t="s">
        <v>887</v>
      </c>
      <c r="C42" s="197" t="s">
        <v>882</v>
      </c>
      <c r="D42" s="197" t="s">
        <v>889</v>
      </c>
    </row>
    <row r="43" spans="2:4" ht="14" outlineLevel="1">
      <c r="B43" s="197" t="s">
        <v>890</v>
      </c>
      <c r="C43" s="197" t="s">
        <v>892</v>
      </c>
      <c r="D43" s="197" t="s">
        <v>891</v>
      </c>
    </row>
    <row r="44" spans="2:4" ht="70" outlineLevel="1">
      <c r="B44" s="197" t="s">
        <v>893</v>
      </c>
      <c r="C44" s="197" t="s">
        <v>894</v>
      </c>
      <c r="D44" s="197" t="s">
        <v>895</v>
      </c>
    </row>
    <row r="45" spans="2:4" ht="42" outlineLevel="1">
      <c r="B45" s="197" t="s">
        <v>897</v>
      </c>
      <c r="C45" s="197" t="s">
        <v>908</v>
      </c>
      <c r="D45" s="197" t="s">
        <v>898</v>
      </c>
    </row>
    <row r="46" spans="2:4" ht="42" outlineLevel="1">
      <c r="B46" s="197" t="s">
        <v>899</v>
      </c>
      <c r="C46" s="197" t="s">
        <v>907</v>
      </c>
      <c r="D46" s="197" t="s">
        <v>900</v>
      </c>
    </row>
    <row r="47" spans="2:4" ht="42" outlineLevel="1">
      <c r="B47" s="197" t="s">
        <v>901</v>
      </c>
      <c r="C47" s="197" t="s">
        <v>906</v>
      </c>
      <c r="D47" s="197" t="s">
        <v>902</v>
      </c>
    </row>
    <row r="48" spans="2:4" ht="29.5" customHeight="1" outlineLevel="1">
      <c r="B48" s="197" t="s">
        <v>903</v>
      </c>
      <c r="C48" s="197" t="s">
        <v>882</v>
      </c>
      <c r="D48" s="197" t="s">
        <v>904</v>
      </c>
    </row>
    <row r="49" spans="2:4" ht="28" outlineLevel="1">
      <c r="B49" s="197" t="s">
        <v>896</v>
      </c>
      <c r="C49" s="197" t="s">
        <v>905</v>
      </c>
      <c r="D49" s="197" t="s">
        <v>909</v>
      </c>
    </row>
    <row r="50" spans="2:4">
      <c r="B50" s="197"/>
      <c r="C50" s="197"/>
      <c r="D50" s="197"/>
    </row>
    <row r="51" spans="2:4">
      <c r="B51" s="204" t="s">
        <v>910</v>
      </c>
      <c r="C51" s="201"/>
      <c r="D51" s="201"/>
    </row>
    <row r="52" spans="2:4" outlineLevel="1"/>
    <row r="53" spans="2:4" ht="42" outlineLevel="1">
      <c r="B53" s="212" t="s">
        <v>911</v>
      </c>
      <c r="C53" s="212" t="s">
        <v>912</v>
      </c>
      <c r="D53" s="212" t="s">
        <v>930</v>
      </c>
    </row>
    <row r="54" spans="2:4" ht="14" outlineLevel="1">
      <c r="B54" s="212" t="s">
        <v>914</v>
      </c>
      <c r="C54" s="212" t="s">
        <v>912</v>
      </c>
      <c r="D54" s="212" t="s">
        <v>913</v>
      </c>
    </row>
    <row r="55" spans="2:4" ht="14" outlineLevel="1">
      <c r="B55" s="212" t="s">
        <v>915</v>
      </c>
      <c r="C55" s="212" t="s">
        <v>912</v>
      </c>
      <c r="D55" s="212" t="s">
        <v>916</v>
      </c>
    </row>
    <row r="56" spans="2:4" ht="14" outlineLevel="1">
      <c r="B56" s="212" t="s">
        <v>917</v>
      </c>
      <c r="C56" s="212" t="s">
        <v>912</v>
      </c>
      <c r="D56" s="212" t="s">
        <v>919</v>
      </c>
    </row>
    <row r="57" spans="2:4" ht="14" outlineLevel="1">
      <c r="B57" s="212" t="s">
        <v>918</v>
      </c>
      <c r="C57" s="212" t="s">
        <v>912</v>
      </c>
      <c r="D57" s="212" t="s">
        <v>920</v>
      </c>
    </row>
    <row r="58" spans="2:4" ht="14" outlineLevel="1">
      <c r="B58" s="197" t="s">
        <v>921</v>
      </c>
      <c r="C58" s="197" t="s">
        <v>924</v>
      </c>
      <c r="D58" s="197" t="s">
        <v>922</v>
      </c>
    </row>
    <row r="59" spans="2:4" ht="14" outlineLevel="1">
      <c r="B59" s="212" t="s">
        <v>1061</v>
      </c>
      <c r="C59" s="212" t="s">
        <v>835</v>
      </c>
      <c r="D59" s="212" t="s">
        <v>1062</v>
      </c>
    </row>
    <row r="60" spans="2:4" ht="28" outlineLevel="1">
      <c r="B60" s="212" t="s">
        <v>401</v>
      </c>
      <c r="C60" s="212" t="s">
        <v>923</v>
      </c>
      <c r="D60" s="212" t="s">
        <v>925</v>
      </c>
    </row>
    <row r="61" spans="2:4" ht="28" outlineLevel="1">
      <c r="B61" s="212" t="s">
        <v>97</v>
      </c>
      <c r="C61" s="212" t="s">
        <v>927</v>
      </c>
      <c r="D61" s="212" t="s">
        <v>926</v>
      </c>
    </row>
    <row r="62" spans="2:4" ht="14" outlineLevel="1">
      <c r="B62" s="197" t="s">
        <v>928</v>
      </c>
      <c r="C62" s="197" t="s">
        <v>929</v>
      </c>
      <c r="D62" s="197" t="s">
        <v>931</v>
      </c>
    </row>
    <row r="63" spans="2:4" ht="14" outlineLevel="1">
      <c r="B63" s="197" t="s">
        <v>932</v>
      </c>
      <c r="C63" s="197" t="s">
        <v>929</v>
      </c>
      <c r="D63" s="197" t="s">
        <v>933</v>
      </c>
    </row>
    <row r="64" spans="2:4" ht="14" outlineLevel="1">
      <c r="B64" s="197" t="s">
        <v>934</v>
      </c>
      <c r="C64" s="197" t="s">
        <v>929</v>
      </c>
      <c r="D64" s="197" t="s">
        <v>935</v>
      </c>
    </row>
    <row r="65" spans="2:9" ht="14" outlineLevel="1">
      <c r="B65" s="197" t="s">
        <v>936</v>
      </c>
      <c r="C65" s="197" t="s">
        <v>929</v>
      </c>
      <c r="D65" s="197" t="s">
        <v>937</v>
      </c>
    </row>
    <row r="66" spans="2:9" ht="14" outlineLevel="1">
      <c r="B66" s="197" t="s">
        <v>938</v>
      </c>
      <c r="C66" s="197" t="s">
        <v>929</v>
      </c>
      <c r="D66" s="197" t="s">
        <v>939</v>
      </c>
    </row>
    <row r="67" spans="2:9" ht="28" outlineLevel="1">
      <c r="B67" s="197" t="s">
        <v>940</v>
      </c>
      <c r="C67" s="197" t="s">
        <v>929</v>
      </c>
      <c r="D67" s="197" t="s">
        <v>941</v>
      </c>
    </row>
    <row r="68" spans="2:9" ht="28" outlineLevel="1">
      <c r="B68" s="197" t="s">
        <v>942</v>
      </c>
      <c r="C68" s="197" t="s">
        <v>929</v>
      </c>
      <c r="D68" s="197" t="s">
        <v>943</v>
      </c>
    </row>
    <row r="69" spans="2:9" ht="14" outlineLevel="1">
      <c r="B69" s="212" t="s">
        <v>539</v>
      </c>
      <c r="C69" s="212" t="s">
        <v>929</v>
      </c>
      <c r="D69" s="212" t="s">
        <v>944</v>
      </c>
    </row>
    <row r="70" spans="2:9" ht="28" outlineLevel="1">
      <c r="B70" s="212" t="s">
        <v>400</v>
      </c>
      <c r="C70" s="212" t="s">
        <v>946</v>
      </c>
      <c r="D70" s="212" t="s">
        <v>947</v>
      </c>
    </row>
    <row r="71" spans="2:9">
      <c r="B71" s="199"/>
      <c r="C71" s="199"/>
      <c r="D71" s="199"/>
    </row>
    <row r="72" spans="2:9">
      <c r="B72" s="204" t="s">
        <v>948</v>
      </c>
      <c r="C72" s="201"/>
      <c r="D72" s="201"/>
    </row>
    <row r="73" spans="2:9" outlineLevel="1">
      <c r="B73" s="200"/>
      <c r="C73" s="200"/>
      <c r="D73" s="200"/>
      <c r="H73" s="202"/>
    </row>
    <row r="74" spans="2:9" ht="14" outlineLevel="1">
      <c r="B74" s="197" t="s">
        <v>949</v>
      </c>
      <c r="C74" s="197" t="s">
        <v>929</v>
      </c>
      <c r="D74" s="197" t="s">
        <v>950</v>
      </c>
    </row>
    <row r="75" spans="2:9" ht="14" outlineLevel="1">
      <c r="B75" s="197" t="s">
        <v>951</v>
      </c>
      <c r="C75" s="197" t="s">
        <v>929</v>
      </c>
      <c r="D75" s="197" t="s">
        <v>952</v>
      </c>
      <c r="I75" s="202"/>
    </row>
    <row r="76" spans="2:9" ht="14" outlineLevel="1">
      <c r="B76" s="197" t="s">
        <v>953</v>
      </c>
      <c r="C76" s="197" t="s">
        <v>929</v>
      </c>
      <c r="D76" s="197" t="s">
        <v>954</v>
      </c>
      <c r="I76" s="202"/>
    </row>
    <row r="77" spans="2:9" ht="28" outlineLevel="1">
      <c r="B77" s="197" t="s">
        <v>955</v>
      </c>
      <c r="C77" s="197" t="s">
        <v>956</v>
      </c>
      <c r="D77" s="197" t="s">
        <v>957</v>
      </c>
    </row>
    <row r="78" spans="2:9" ht="28" outlineLevel="1">
      <c r="B78" s="197" t="s">
        <v>958</v>
      </c>
      <c r="C78" s="197" t="s">
        <v>882</v>
      </c>
      <c r="D78" s="197" t="s">
        <v>959</v>
      </c>
    </row>
    <row r="79" spans="2:9" ht="14" outlineLevel="1">
      <c r="B79" s="212" t="s">
        <v>675</v>
      </c>
      <c r="C79" s="212" t="s">
        <v>929</v>
      </c>
      <c r="D79" s="212" t="s">
        <v>960</v>
      </c>
    </row>
    <row r="80" spans="2:9" ht="14" outlineLevel="1">
      <c r="B80" s="212" t="s">
        <v>683</v>
      </c>
      <c r="C80" s="212" t="s">
        <v>929</v>
      </c>
      <c r="D80" s="212" t="s">
        <v>961</v>
      </c>
    </row>
    <row r="81" spans="2:6" ht="14" outlineLevel="1">
      <c r="B81" s="212" t="s">
        <v>685</v>
      </c>
      <c r="C81" s="212" t="s">
        <v>929</v>
      </c>
      <c r="D81" s="212" t="s">
        <v>962</v>
      </c>
    </row>
    <row r="82" spans="2:6" ht="42" outlineLevel="1">
      <c r="B82" s="197" t="s">
        <v>963</v>
      </c>
      <c r="C82" s="197" t="s">
        <v>964</v>
      </c>
      <c r="D82" s="197" t="s">
        <v>965</v>
      </c>
    </row>
    <row r="83" spans="2:6" ht="28" outlineLevel="1">
      <c r="B83" s="212" t="s">
        <v>966</v>
      </c>
      <c r="C83" s="212" t="s">
        <v>967</v>
      </c>
      <c r="D83" s="212" t="s">
        <v>970</v>
      </c>
    </row>
    <row r="84" spans="2:6" ht="28" outlineLevel="1">
      <c r="B84" s="197" t="s">
        <v>968</v>
      </c>
      <c r="C84" s="197" t="s">
        <v>882</v>
      </c>
      <c r="D84" s="197" t="s">
        <v>969</v>
      </c>
    </row>
    <row r="85" spans="2:6" ht="14" outlineLevel="1">
      <c r="B85" s="212" t="s">
        <v>971</v>
      </c>
      <c r="C85" s="212" t="s">
        <v>972</v>
      </c>
      <c r="D85" s="212" t="s">
        <v>998</v>
      </c>
    </row>
    <row r="86" spans="2:6" ht="14" outlineLevel="1">
      <c r="B86" s="212" t="s">
        <v>973</v>
      </c>
      <c r="C86" s="212" t="s">
        <v>972</v>
      </c>
      <c r="D86" s="212" t="s">
        <v>997</v>
      </c>
    </row>
    <row r="87" spans="2:6" ht="14" outlineLevel="1">
      <c r="B87" s="212" t="s">
        <v>670</v>
      </c>
      <c r="C87" s="212" t="s">
        <v>974</v>
      </c>
      <c r="D87" s="212" t="s">
        <v>975</v>
      </c>
      <c r="F87" s="202"/>
    </row>
    <row r="88" spans="2:6" ht="14" outlineLevel="1">
      <c r="B88" s="212" t="s">
        <v>672</v>
      </c>
      <c r="C88" s="212" t="s">
        <v>974</v>
      </c>
      <c r="D88" s="212" t="s">
        <v>976</v>
      </c>
    </row>
    <row r="89" spans="2:6" ht="28" outlineLevel="1">
      <c r="B89" s="205" t="s">
        <v>1209</v>
      </c>
      <c r="C89" s="205" t="s">
        <v>1210</v>
      </c>
      <c r="D89" s="205" t="s">
        <v>1214</v>
      </c>
    </row>
    <row r="90" spans="2:6" ht="28" outlineLevel="1">
      <c r="B90" s="205" t="s">
        <v>1211</v>
      </c>
      <c r="C90" s="205" t="s">
        <v>1212</v>
      </c>
      <c r="D90" s="205" t="s">
        <v>1213</v>
      </c>
    </row>
    <row r="91" spans="2:6" ht="42" outlineLevel="1">
      <c r="B91" s="212" t="s">
        <v>1207</v>
      </c>
      <c r="C91" s="212" t="s">
        <v>1208</v>
      </c>
      <c r="D91" s="212" t="s">
        <v>1220</v>
      </c>
    </row>
    <row r="92" spans="2:6">
      <c r="B92" s="197"/>
      <c r="C92" s="197"/>
      <c r="D92" s="197"/>
    </row>
    <row r="93" spans="2:6">
      <c r="B93" s="204" t="s">
        <v>977</v>
      </c>
      <c r="C93" s="201"/>
      <c r="D93" s="201"/>
    </row>
    <row r="94" spans="2:6" outlineLevel="1">
      <c r="B94" s="197"/>
      <c r="C94" s="197"/>
      <c r="D94" s="197"/>
    </row>
    <row r="95" spans="2:6" ht="56" outlineLevel="1">
      <c r="B95" s="212" t="s">
        <v>79</v>
      </c>
      <c r="C95" s="212" t="s">
        <v>979</v>
      </c>
      <c r="D95" s="212" t="s">
        <v>978</v>
      </c>
    </row>
    <row r="96" spans="2:6" ht="70" outlineLevel="1">
      <c r="B96" s="212" t="s">
        <v>475</v>
      </c>
      <c r="C96" s="212" t="s">
        <v>980</v>
      </c>
      <c r="D96" s="212" t="s">
        <v>984</v>
      </c>
    </row>
    <row r="97" spans="2:4" ht="70" outlineLevel="1">
      <c r="B97" s="212" t="s">
        <v>294</v>
      </c>
      <c r="C97" s="212" t="s">
        <v>981</v>
      </c>
      <c r="D97" s="212" t="s">
        <v>982</v>
      </c>
    </row>
    <row r="98" spans="2:4" ht="98" outlineLevel="1">
      <c r="B98" s="212" t="s">
        <v>600</v>
      </c>
      <c r="C98" s="212" t="s">
        <v>985</v>
      </c>
      <c r="D98" s="212" t="s">
        <v>983</v>
      </c>
    </row>
    <row r="99" spans="2:4" ht="28" outlineLevel="1">
      <c r="B99" s="212" t="s">
        <v>986</v>
      </c>
      <c r="C99" s="212" t="s">
        <v>987</v>
      </c>
      <c r="D99" s="212" t="s">
        <v>990</v>
      </c>
    </row>
    <row r="100" spans="2:4" ht="42" outlineLevel="1">
      <c r="B100" s="212" t="s">
        <v>988</v>
      </c>
      <c r="C100" s="212" t="s">
        <v>989</v>
      </c>
      <c r="D100" s="212" t="s">
        <v>991</v>
      </c>
    </row>
    <row r="101" spans="2:4">
      <c r="B101" s="197"/>
      <c r="C101" s="197"/>
      <c r="D101" s="197"/>
    </row>
    <row r="102" spans="2:4">
      <c r="B102" s="204" t="s">
        <v>992</v>
      </c>
      <c r="C102" s="201"/>
      <c r="D102" s="201"/>
    </row>
    <row r="103" spans="2:4" outlineLevel="1">
      <c r="B103" s="197"/>
      <c r="C103" s="197"/>
      <c r="D103" s="197"/>
    </row>
    <row r="104" spans="2:4" ht="28" outlineLevel="1">
      <c r="B104" s="197" t="s">
        <v>993</v>
      </c>
      <c r="C104" s="197" t="s">
        <v>1000</v>
      </c>
      <c r="D104" s="197" t="s">
        <v>994</v>
      </c>
    </row>
    <row r="105" spans="2:4" ht="42" outlineLevel="1">
      <c r="B105" s="197" t="s">
        <v>995</v>
      </c>
      <c r="C105" s="197" t="s">
        <v>1000</v>
      </c>
      <c r="D105" s="197" t="s">
        <v>996</v>
      </c>
    </row>
    <row r="106" spans="2:4" ht="56" outlineLevel="1">
      <c r="B106" s="212" t="s">
        <v>641</v>
      </c>
      <c r="C106" s="212" t="s">
        <v>1001</v>
      </c>
      <c r="D106" s="212" t="s">
        <v>999</v>
      </c>
    </row>
    <row r="107" spans="2:4" ht="98" outlineLevel="1">
      <c r="B107" s="212" t="s">
        <v>117</v>
      </c>
      <c r="C107" s="212" t="s">
        <v>1109</v>
      </c>
      <c r="D107" s="212" t="s">
        <v>1110</v>
      </c>
    </row>
    <row r="108" spans="2:4" ht="98" outlineLevel="1">
      <c r="B108" s="212" t="s">
        <v>189</v>
      </c>
      <c r="C108" s="212" t="s">
        <v>1002</v>
      </c>
      <c r="D108" s="212" t="s">
        <v>1003</v>
      </c>
    </row>
    <row r="109" spans="2:4" ht="126" outlineLevel="1">
      <c r="B109" s="197" t="s">
        <v>1004</v>
      </c>
      <c r="C109" s="197" t="s">
        <v>1006</v>
      </c>
      <c r="D109" s="205" t="s">
        <v>1014</v>
      </c>
    </row>
    <row r="110" spans="2:4" ht="56" outlineLevel="1">
      <c r="B110" s="197" t="s">
        <v>1005</v>
      </c>
      <c r="C110" s="197" t="s">
        <v>1006</v>
      </c>
      <c r="D110" s="205" t="s">
        <v>1007</v>
      </c>
    </row>
    <row r="111" spans="2:4" ht="84" outlineLevel="1">
      <c r="B111" s="197" t="s">
        <v>1008</v>
      </c>
      <c r="C111" s="197" t="s">
        <v>1009</v>
      </c>
      <c r="D111" s="205" t="s">
        <v>1013</v>
      </c>
    </row>
    <row r="112" spans="2:4" ht="84" outlineLevel="1">
      <c r="B112" s="197" t="s">
        <v>1010</v>
      </c>
      <c r="C112" s="197" t="s">
        <v>1011</v>
      </c>
      <c r="D112" s="205" t="s">
        <v>1012</v>
      </c>
    </row>
    <row r="113" spans="2:6" ht="56" outlineLevel="1">
      <c r="B113" s="197" t="s">
        <v>1015</v>
      </c>
      <c r="C113" s="197" t="s">
        <v>1016</v>
      </c>
      <c r="D113" s="197" t="s">
        <v>1017</v>
      </c>
    </row>
    <row r="114" spans="2:6" ht="84" outlineLevel="1">
      <c r="B114" s="197" t="s">
        <v>1018</v>
      </c>
      <c r="C114" s="197" t="s">
        <v>1022</v>
      </c>
      <c r="D114" s="197" t="s">
        <v>1019</v>
      </c>
    </row>
    <row r="115" spans="2:6" ht="14" outlineLevel="1">
      <c r="B115" s="197" t="s">
        <v>1020</v>
      </c>
      <c r="C115" s="197" t="s">
        <v>1021</v>
      </c>
      <c r="D115" s="197" t="s">
        <v>1023</v>
      </c>
    </row>
    <row r="116" spans="2:6" ht="42" outlineLevel="1">
      <c r="B116" s="197" t="s">
        <v>1024</v>
      </c>
      <c r="C116" s="197" t="s">
        <v>1021</v>
      </c>
      <c r="D116" s="197" t="s">
        <v>1025</v>
      </c>
    </row>
    <row r="117" spans="2:6" ht="56" outlineLevel="1">
      <c r="B117" s="197" t="s">
        <v>1026</v>
      </c>
      <c r="C117" s="197" t="s">
        <v>1027</v>
      </c>
      <c r="D117" s="197" t="s">
        <v>1028</v>
      </c>
    </row>
    <row r="119" spans="2:6">
      <c r="B119" s="204" t="s">
        <v>1029</v>
      </c>
      <c r="C119" s="201"/>
      <c r="D119" s="201"/>
    </row>
    <row r="120" spans="2:6" outlineLevel="1">
      <c r="B120" s="197"/>
      <c r="C120" s="197"/>
      <c r="D120" s="197"/>
    </row>
    <row r="121" spans="2:6" ht="70" outlineLevel="1">
      <c r="B121" s="212" t="s">
        <v>1030</v>
      </c>
      <c r="C121" s="212" t="s">
        <v>1031</v>
      </c>
      <c r="D121" s="212" t="s">
        <v>1063</v>
      </c>
      <c r="F121" s="61"/>
    </row>
    <row r="122" spans="2:6" ht="70" outlineLevel="1">
      <c r="B122" s="212" t="s">
        <v>1032</v>
      </c>
      <c r="C122" s="212" t="s">
        <v>1033</v>
      </c>
      <c r="D122" s="212" t="s">
        <v>1064</v>
      </c>
      <c r="F122" s="61"/>
    </row>
    <row r="123" spans="2:6" ht="70" outlineLevel="1">
      <c r="B123" s="212" t="s">
        <v>1034</v>
      </c>
      <c r="C123" s="212" t="s">
        <v>1036</v>
      </c>
      <c r="D123" s="212" t="s">
        <v>1039</v>
      </c>
    </row>
    <row r="124" spans="2:6" ht="70" outlineLevel="1">
      <c r="B124" s="212" t="s">
        <v>1037</v>
      </c>
      <c r="C124" s="212" t="s">
        <v>1038</v>
      </c>
      <c r="D124" s="212" t="s">
        <v>1040</v>
      </c>
    </row>
    <row r="125" spans="2:6" ht="42" outlineLevel="1">
      <c r="B125" s="212" t="s">
        <v>1041</v>
      </c>
      <c r="C125" s="212" t="s">
        <v>1042</v>
      </c>
      <c r="D125" s="212" t="s">
        <v>1051</v>
      </c>
    </row>
    <row r="126" spans="2:6" ht="42" outlineLevel="1">
      <c r="B126" s="212" t="s">
        <v>1048</v>
      </c>
      <c r="C126" s="212" t="s">
        <v>1049</v>
      </c>
      <c r="D126" s="212" t="s">
        <v>1052</v>
      </c>
    </row>
    <row r="127" spans="2:6" ht="42" outlineLevel="1">
      <c r="B127" s="212" t="s">
        <v>1050</v>
      </c>
      <c r="C127" s="212" t="s">
        <v>1049</v>
      </c>
      <c r="D127" s="212" t="s">
        <v>1053</v>
      </c>
    </row>
    <row r="129" spans="2:4">
      <c r="B129" s="204" t="s">
        <v>1054</v>
      </c>
      <c r="C129" s="201"/>
      <c r="D129" s="20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31D109CFA2074D9B906EE5753A9CA8" ma:contentTypeVersion="4" ma:contentTypeDescription="Create a new document." ma:contentTypeScope="" ma:versionID="9ebb0cb01ae92239f899b00347356e23">
  <xsd:schema xmlns:xsd="http://www.w3.org/2001/XMLSchema" xmlns:xs="http://www.w3.org/2001/XMLSchema" xmlns:p="http://schemas.microsoft.com/office/2006/metadata/properties" xmlns:ns2="4273be21-578b-4c39-b384-01793bf0d737" targetNamespace="http://schemas.microsoft.com/office/2006/metadata/properties" ma:root="true" ma:fieldsID="686f4a6a0485dbd4b4d4c8f792ad6edd" ns2:_="">
    <xsd:import namespace="4273be21-578b-4c39-b384-01793bf0d7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3be21-578b-4c39-b384-01793bf0d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7815BA-DD39-4128-8A76-0DB6CEE2F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3be21-578b-4c39-b384-01793bf0d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6A26A7-B022-46AC-BDA5-FAB554D16087}">
  <ds:schemaRefs>
    <ds:schemaRef ds:uri="http://schemas.microsoft.com/sharepoint/v3/contenttype/forms"/>
  </ds:schemaRefs>
</ds:datastoreItem>
</file>

<file path=customXml/itemProps3.xml><?xml version="1.0" encoding="utf-8"?>
<ds:datastoreItem xmlns:ds="http://schemas.openxmlformats.org/officeDocument/2006/customXml" ds:itemID="{26E5A7D8-CB58-4FC8-8B4F-46533169ED38}">
  <ds:schemaRefs>
    <ds:schemaRef ds:uri="fe06ab4a-8e72-4159-b5ae-ef177e87c6a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446d75ff-97dd-48e7-b599-1a5253670bd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32</vt:i4>
      </vt:variant>
      <vt:variant>
        <vt:lpstr>Named Ranges</vt:lpstr>
      </vt:variant>
      <vt:variant>
        <vt:i4>2</vt:i4>
      </vt:variant>
    </vt:vector>
  </HeadingPairs>
  <TitlesOfParts>
    <vt:vector size="34" baseType="lpstr">
      <vt:lpstr>SHORTCUTS&gt;&gt;</vt:lpstr>
      <vt:lpstr>NAVIGATION</vt:lpstr>
      <vt:lpstr>SELECTING</vt:lpstr>
      <vt:lpstr>INSERTING&amp;DELETING</vt:lpstr>
      <vt:lpstr>COPYING&amp;PASTING</vt:lpstr>
      <vt:lpstr>keys</vt:lpstr>
      <vt:lpstr>FORMATTING</vt:lpstr>
      <vt:lpstr>FORMULAS&gt;&gt;</vt:lpstr>
      <vt:lpstr>Function_List</vt:lpstr>
      <vt:lpstr> Brackets in formula</vt:lpstr>
      <vt:lpstr> AutoSum Shortcut Key</vt:lpstr>
      <vt:lpstr>SUM</vt:lpstr>
      <vt:lpstr>SUM_as_Running_Total</vt:lpstr>
      <vt:lpstr>MAX_MIN</vt:lpstr>
      <vt:lpstr>IF_and_related</vt:lpstr>
      <vt:lpstr>Dates</vt:lpstr>
      <vt:lpstr>INDEX</vt:lpstr>
      <vt:lpstr>MATCH</vt:lpstr>
      <vt:lpstr>CHOOSE</vt:lpstr>
      <vt:lpstr>COUNT</vt:lpstr>
      <vt:lpstr>COUNTIF(S)</vt:lpstr>
      <vt:lpstr>AVERAGE(IF(S))</vt:lpstr>
      <vt:lpstr>SUMIF(S)</vt:lpstr>
      <vt:lpstr>SUMPRODUCT</vt:lpstr>
      <vt:lpstr>IFERROR</vt:lpstr>
      <vt:lpstr>IFNA</vt:lpstr>
      <vt:lpstr>(X)NPV</vt:lpstr>
      <vt:lpstr>(X)IRR</vt:lpstr>
      <vt:lpstr>PMT_PPMT_IPMT</vt:lpstr>
      <vt:lpstr>AUDITING &gt;&gt;</vt:lpstr>
      <vt:lpstr>Formula_Auditing</vt:lpstr>
      <vt:lpstr>Formula_Auditing_Data</vt:lpstr>
      <vt:lpstr>EastAndWest</vt:lpstr>
      <vt:lpstr>NorthAndSouth</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Oke</dc:creator>
  <cp:lastModifiedBy>Alex Shymkiv</cp:lastModifiedBy>
  <cp:lastPrinted>2021-04-21T11:08:27Z</cp:lastPrinted>
  <dcterms:created xsi:type="dcterms:W3CDTF">2015-03-19T00:13:17Z</dcterms:created>
  <dcterms:modified xsi:type="dcterms:W3CDTF">2025-09-21T20:45:41Z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0x0101004B31D109CFA2074D9B906EE5753A9CA8</vt:lpwstr>
  </property>
</Properties>
</file>